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bliothek\Normen_Richtlinien\_DIN-Normen inkl DIN EN ISO\DIN V 18599 Energetische Bewertung von Gebäuden\publizierte Aufwandszahlen\"/>
    </mc:Choice>
  </mc:AlternateContent>
  <xr:revisionPtr revIDLastSave="0" documentId="13_ncr:1_{64103AE4-4684-4FF8-B7BA-34C9A50DB7A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Herstellerwerte" sheetId="1" r:id="rId1"/>
    <sheet name="Mittelwerte" sheetId="2" r:id="rId2"/>
    <sheet name="Standardwerte" sheetId="3" r:id="rId3"/>
  </sheets>
  <calcPr calcId="191029"/>
  <customWorkbookViews>
    <customWorkbookView name="Maximilian Volgmann - Persönliche Ansicht" guid="{C6D656A5-E5D0-43AA-B502-125EFB9D3966}" mergeInterval="0" personalView="1" maximized="1" windowWidth="1676" windowHeight="745" activeSheetId="1"/>
    <customWorkbookView name="Anna Katharina Sievers - Persönliche Ansicht" guid="{84BB0383-D1DD-492C-9D89-8CCD7ED964E7}" mergeInterval="0" personalView="1" maximized="1" windowWidth="1676" windowHeight="78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F30" i="1" l="1"/>
  <c r="F31" i="1"/>
  <c r="F32" i="1"/>
  <c r="F33" i="1"/>
  <c r="F34" i="1"/>
  <c r="F35" i="1"/>
  <c r="F36" i="1"/>
  <c r="F37" i="1"/>
  <c r="F38" i="1"/>
  <c r="F29" i="1"/>
  <c r="F45" i="1"/>
  <c r="F46" i="1"/>
  <c r="F47" i="1"/>
  <c r="F48" i="1"/>
  <c r="F49" i="1"/>
  <c r="F50" i="1"/>
  <c r="F51" i="1"/>
  <c r="F52" i="1"/>
  <c r="F53" i="1"/>
  <c r="F44" i="1"/>
  <c r="F59" i="1"/>
  <c r="F75" i="1"/>
  <c r="F76" i="1"/>
  <c r="F77" i="1"/>
  <c r="F78" i="1"/>
  <c r="F74" i="1"/>
  <c r="F150" i="1"/>
  <c r="F151" i="1"/>
  <c r="F152" i="1"/>
  <c r="F153" i="1"/>
  <c r="F157" i="1"/>
  <c r="F158" i="1"/>
  <c r="F149" i="1"/>
  <c r="F269" i="1"/>
  <c r="F284" i="1"/>
  <c r="AE79" i="1" l="1"/>
  <c r="AE80" i="1"/>
  <c r="AE81" i="1"/>
  <c r="AF79" i="1"/>
  <c r="AF80" i="1"/>
  <c r="AF81" i="1"/>
  <c r="U154" i="1" l="1"/>
  <c r="V154" i="1"/>
  <c r="BJ81" i="1" l="1"/>
  <c r="BH81" i="1"/>
  <c r="BF81" i="1"/>
  <c r="DR81" i="1"/>
  <c r="AZ81" i="1"/>
  <c r="AY81" i="1"/>
  <c r="AV81" i="1"/>
  <c r="AR81" i="1"/>
  <c r="AQ81" i="1"/>
  <c r="AP81" i="1"/>
  <c r="AO81" i="1"/>
  <c r="AN81" i="1"/>
  <c r="DQ81" i="1"/>
  <c r="BJ80" i="1"/>
  <c r="BH80" i="1"/>
  <c r="BF80" i="1"/>
  <c r="DR80" i="1"/>
  <c r="AZ80" i="1"/>
  <c r="AY80" i="1"/>
  <c r="AV80" i="1"/>
  <c r="AR80" i="1"/>
  <c r="AQ80" i="1"/>
  <c r="AP80" i="1"/>
  <c r="AO80" i="1"/>
  <c r="AN80" i="1"/>
  <c r="DQ80" i="1"/>
  <c r="BJ79" i="1"/>
  <c r="BH79" i="1"/>
  <c r="BF79" i="1"/>
  <c r="DR79" i="1"/>
  <c r="AZ79" i="1"/>
  <c r="AY79" i="1"/>
  <c r="AV79" i="1"/>
  <c r="AR79" i="1"/>
  <c r="AQ79" i="1"/>
  <c r="AP79" i="1"/>
  <c r="AO79" i="1"/>
  <c r="AN79" i="1"/>
  <c r="DQ79" i="1"/>
  <c r="E5" i="2" l="1"/>
  <c r="E100" i="1" l="1"/>
  <c r="D100" i="1"/>
  <c r="I115" i="1"/>
  <c r="E115" i="1"/>
  <c r="D115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A116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4" i="1"/>
  <c r="G104" i="1"/>
  <c r="F104" i="1"/>
  <c r="E104" i="1"/>
  <c r="A101" i="1"/>
  <c r="H293" i="1" l="1"/>
  <c r="G293" i="1"/>
  <c r="F293" i="1"/>
  <c r="E293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E284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69" i="1"/>
  <c r="G269" i="1"/>
  <c r="E269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4" i="1"/>
  <c r="G254" i="1"/>
  <c r="F254" i="1"/>
  <c r="E254" i="1"/>
  <c r="H225" i="1"/>
  <c r="G225" i="1"/>
  <c r="F225" i="1"/>
  <c r="E225" i="1"/>
  <c r="H195" i="1"/>
  <c r="G195" i="1"/>
  <c r="F195" i="1"/>
  <c r="E195" i="1"/>
  <c r="H180" i="1"/>
  <c r="G180" i="1"/>
  <c r="F180" i="1"/>
  <c r="E180" i="1"/>
  <c r="H165" i="1"/>
  <c r="G165" i="1"/>
  <c r="F165" i="1"/>
  <c r="E165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39" i="1"/>
  <c r="G239" i="1"/>
  <c r="F239" i="1"/>
  <c r="E239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4" i="1"/>
  <c r="G224" i="1"/>
  <c r="F224" i="1"/>
  <c r="E22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4" i="1"/>
  <c r="G194" i="1"/>
  <c r="F194" i="1"/>
  <c r="E194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79" i="1"/>
  <c r="G179" i="1"/>
  <c r="F179" i="1"/>
  <c r="E179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4" i="1"/>
  <c r="G164" i="1"/>
  <c r="F164" i="1"/>
  <c r="E164" i="1"/>
  <c r="H158" i="1"/>
  <c r="G158" i="1"/>
  <c r="E158" i="1"/>
  <c r="H157" i="1"/>
  <c r="G157" i="1"/>
  <c r="E157" i="1"/>
  <c r="H153" i="1"/>
  <c r="G153" i="1"/>
  <c r="E153" i="1"/>
  <c r="H152" i="1"/>
  <c r="G152" i="1"/>
  <c r="E152" i="1"/>
  <c r="H151" i="1"/>
  <c r="G151" i="1"/>
  <c r="E151" i="1"/>
  <c r="H149" i="1"/>
  <c r="G149" i="1"/>
  <c r="E149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78" i="1"/>
  <c r="G78" i="1"/>
  <c r="E78" i="1"/>
  <c r="H77" i="1"/>
  <c r="G77" i="1"/>
  <c r="E77" i="1"/>
  <c r="H76" i="1"/>
  <c r="G76" i="1"/>
  <c r="E76" i="1"/>
  <c r="H75" i="1"/>
  <c r="G75" i="1"/>
  <c r="E75" i="1"/>
  <c r="H74" i="1"/>
  <c r="G74" i="1"/>
  <c r="E74" i="1"/>
  <c r="H68" i="1"/>
  <c r="G68" i="1"/>
  <c r="F68" i="1"/>
  <c r="E68" i="1"/>
  <c r="H67" i="1"/>
  <c r="G67" i="1"/>
  <c r="F67" i="1"/>
  <c r="E67" i="1"/>
  <c r="H66" i="1"/>
  <c r="G66" i="1"/>
  <c r="F66" i="1"/>
  <c r="E66" i="1"/>
  <c r="H64" i="1"/>
  <c r="G64" i="1"/>
  <c r="F64" i="1"/>
  <c r="E64" i="1"/>
  <c r="H63" i="1"/>
  <c r="G63" i="1"/>
  <c r="F63" i="1"/>
  <c r="E63" i="1"/>
  <c r="H62" i="1"/>
  <c r="G62" i="1"/>
  <c r="F62" i="1"/>
  <c r="E62" i="1"/>
  <c r="H59" i="1"/>
  <c r="G59" i="1"/>
  <c r="E59" i="1"/>
  <c r="H53" i="1"/>
  <c r="G53" i="1"/>
  <c r="E53" i="1"/>
  <c r="H52" i="1"/>
  <c r="G52" i="1"/>
  <c r="E52" i="1"/>
  <c r="H51" i="1"/>
  <c r="G51" i="1"/>
  <c r="E51" i="1"/>
  <c r="H50" i="1"/>
  <c r="G50" i="1"/>
  <c r="E50" i="1"/>
  <c r="H49" i="1"/>
  <c r="G49" i="1"/>
  <c r="E49" i="1"/>
  <c r="H48" i="1"/>
  <c r="G48" i="1"/>
  <c r="E48" i="1"/>
  <c r="H47" i="1"/>
  <c r="G47" i="1"/>
  <c r="E47" i="1"/>
  <c r="H46" i="1"/>
  <c r="G46" i="1"/>
  <c r="E46" i="1"/>
  <c r="H45" i="1"/>
  <c r="G45" i="1"/>
  <c r="E45" i="1"/>
  <c r="H44" i="1"/>
  <c r="G44" i="1"/>
  <c r="E44" i="1"/>
  <c r="H38" i="1"/>
  <c r="G38" i="1"/>
  <c r="E38" i="1"/>
  <c r="H37" i="1"/>
  <c r="G37" i="1"/>
  <c r="E37" i="1"/>
  <c r="H36" i="1"/>
  <c r="G36" i="1"/>
  <c r="E36" i="1"/>
  <c r="H35" i="1"/>
  <c r="G35" i="1"/>
  <c r="E35" i="1"/>
  <c r="H34" i="1"/>
  <c r="G34" i="1"/>
  <c r="E34" i="1"/>
  <c r="H33" i="1"/>
  <c r="G33" i="1"/>
  <c r="E33" i="1"/>
  <c r="H32" i="1"/>
  <c r="G32" i="1"/>
  <c r="E32" i="1"/>
  <c r="H31" i="1"/>
  <c r="G31" i="1"/>
  <c r="E31" i="1"/>
  <c r="H30" i="1"/>
  <c r="G30" i="1"/>
  <c r="E30" i="1"/>
  <c r="H29" i="1"/>
  <c r="G29" i="1"/>
  <c r="E29" i="1"/>
  <c r="CZ156" i="1" l="1"/>
  <c r="CY156" i="1"/>
  <c r="CX156" i="1"/>
  <c r="CW156" i="1"/>
  <c r="CV156" i="1"/>
  <c r="CU156" i="1"/>
  <c r="CT156" i="1"/>
  <c r="CS156" i="1"/>
  <c r="CZ155" i="1"/>
  <c r="CY155" i="1"/>
  <c r="CX155" i="1"/>
  <c r="CW155" i="1"/>
  <c r="CV155" i="1"/>
  <c r="CU155" i="1"/>
  <c r="CT155" i="1"/>
  <c r="CS155" i="1"/>
  <c r="CZ154" i="1"/>
  <c r="CY154" i="1"/>
  <c r="CX154" i="1"/>
  <c r="CW154" i="1"/>
  <c r="CV154" i="1"/>
  <c r="CU154" i="1"/>
  <c r="CT154" i="1"/>
  <c r="CS154" i="1"/>
  <c r="AG156" i="1"/>
  <c r="AF156" i="1"/>
  <c r="AD156" i="1"/>
  <c r="AC156" i="1"/>
  <c r="AB156" i="1"/>
  <c r="AA156" i="1"/>
  <c r="Z156" i="1"/>
  <c r="Y156" i="1"/>
  <c r="X156" i="1"/>
  <c r="W156" i="1"/>
  <c r="V156" i="1"/>
  <c r="U156" i="1"/>
  <c r="T156" i="1"/>
  <c r="W155" i="1"/>
  <c r="T155" i="1"/>
  <c r="AG154" i="1"/>
  <c r="AF154" i="1"/>
  <c r="AD154" i="1"/>
  <c r="AC154" i="1"/>
  <c r="AB154" i="1"/>
  <c r="AA154" i="1"/>
  <c r="Z154" i="1"/>
  <c r="Y154" i="1"/>
  <c r="X154" i="1"/>
  <c r="W154" i="1"/>
  <c r="T154" i="1"/>
  <c r="F155" i="1" l="1"/>
  <c r="F156" i="1"/>
  <c r="F154" i="1"/>
  <c r="H154" i="1"/>
  <c r="G154" i="1"/>
  <c r="E154" i="1"/>
  <c r="E155" i="1"/>
  <c r="H155" i="1"/>
  <c r="G155" i="1"/>
  <c r="H156" i="1"/>
  <c r="G156" i="1"/>
  <c r="E156" i="1"/>
  <c r="A161" i="1" l="1"/>
  <c r="A191" i="1"/>
  <c r="A176" i="1"/>
  <c r="A86" i="1"/>
  <c r="A71" i="1"/>
  <c r="A26" i="1"/>
  <c r="A281" i="1" l="1"/>
  <c r="AD270" i="1" l="1"/>
  <c r="A41" i="1" l="1"/>
  <c r="EH83" i="1"/>
  <c r="EH82" i="1"/>
  <c r="EG83" i="1"/>
  <c r="EG82" i="1"/>
  <c r="EF83" i="1"/>
  <c r="EF82" i="1"/>
  <c r="EE83" i="1"/>
  <c r="EE82" i="1"/>
  <c r="ED83" i="1"/>
  <c r="ED82" i="1"/>
  <c r="EC83" i="1"/>
  <c r="EC82" i="1"/>
  <c r="EB83" i="1"/>
  <c r="EB82" i="1"/>
  <c r="EA83" i="1"/>
  <c r="EA82" i="1"/>
  <c r="DZ83" i="1"/>
  <c r="DZ82" i="1"/>
  <c r="DY83" i="1"/>
  <c r="DY82" i="1"/>
  <c r="DX83" i="1"/>
  <c r="DX82" i="1"/>
  <c r="DW83" i="1"/>
  <c r="DW82" i="1"/>
  <c r="DV83" i="1"/>
  <c r="DV82" i="1"/>
  <c r="DU83" i="1"/>
  <c r="DU82" i="1"/>
  <c r="DT83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BR81" i="1"/>
  <c r="BQ81" i="1"/>
  <c r="BP81" i="1"/>
  <c r="BO81" i="1"/>
  <c r="BN81" i="1"/>
  <c r="AG81" i="1"/>
  <c r="AD81" i="1"/>
  <c r="AC81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BR80" i="1"/>
  <c r="BQ80" i="1"/>
  <c r="BP80" i="1"/>
  <c r="BO80" i="1"/>
  <c r="BN80" i="1"/>
  <c r="AG80" i="1"/>
  <c r="AD80" i="1"/>
  <c r="AC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BR79" i="1"/>
  <c r="BQ79" i="1"/>
  <c r="BP79" i="1"/>
  <c r="BO79" i="1"/>
  <c r="BN79" i="1"/>
  <c r="AG79" i="1"/>
  <c r="AD79" i="1"/>
  <c r="AC79" i="1"/>
  <c r="I199" i="1"/>
  <c r="A266" i="1"/>
  <c r="A251" i="1"/>
  <c r="A236" i="1"/>
  <c r="A221" i="1"/>
  <c r="A206" i="1"/>
  <c r="A146" i="1"/>
  <c r="A131" i="1"/>
  <c r="A56" i="1"/>
  <c r="A11" i="1"/>
  <c r="T275" i="1"/>
  <c r="T274" i="1"/>
  <c r="S275" i="1"/>
  <c r="S274" i="1"/>
  <c r="R275" i="1"/>
  <c r="R274" i="1"/>
  <c r="Q274" i="1"/>
  <c r="Q275" i="1"/>
  <c r="P275" i="1"/>
  <c r="P274" i="1"/>
  <c r="AE270" i="1"/>
  <c r="AC270" i="1"/>
  <c r="AB270" i="1"/>
  <c r="AA270" i="1"/>
  <c r="Z270" i="1"/>
  <c r="G3" i="2"/>
  <c r="F5" i="2"/>
  <c r="G6" i="2"/>
  <c r="G7" i="2"/>
  <c r="P233" i="1"/>
  <c r="O233" i="1"/>
  <c r="N233" i="1"/>
  <c r="M233" i="1"/>
  <c r="L233" i="1"/>
  <c r="K233" i="1"/>
  <c r="J233" i="1"/>
  <c r="I233" i="1"/>
  <c r="P232" i="1"/>
  <c r="O232" i="1"/>
  <c r="N232" i="1"/>
  <c r="M232" i="1"/>
  <c r="L232" i="1"/>
  <c r="K232" i="1"/>
  <c r="J232" i="1"/>
  <c r="I232" i="1"/>
  <c r="H216" i="1"/>
  <c r="G216" i="1"/>
  <c r="E216" i="1"/>
  <c r="H215" i="1"/>
  <c r="G215" i="1"/>
  <c r="E215" i="1"/>
  <c r="H213" i="1"/>
  <c r="G213" i="1"/>
  <c r="E213" i="1"/>
  <c r="H212" i="1"/>
  <c r="G212" i="1"/>
  <c r="E212" i="1"/>
  <c r="H211" i="1"/>
  <c r="G211" i="1"/>
  <c r="E211" i="1"/>
  <c r="H210" i="1"/>
  <c r="G210" i="1"/>
  <c r="E210" i="1"/>
  <c r="H21" i="1"/>
  <c r="G21" i="1"/>
  <c r="E21" i="1"/>
  <c r="H20" i="1"/>
  <c r="G20" i="1"/>
  <c r="E20" i="1"/>
  <c r="H16" i="1"/>
  <c r="G16" i="1"/>
  <c r="E16" i="1"/>
  <c r="H15" i="1"/>
  <c r="G15" i="1"/>
  <c r="E15" i="1"/>
  <c r="H22" i="1"/>
  <c r="H19" i="1"/>
  <c r="G19" i="1"/>
  <c r="E19" i="1"/>
  <c r="H18" i="1"/>
  <c r="G18" i="1"/>
  <c r="E18" i="1"/>
  <c r="H17" i="1"/>
  <c r="G17" i="1"/>
  <c r="E17" i="1"/>
  <c r="H14" i="1"/>
  <c r="G14" i="1"/>
  <c r="E14" i="1"/>
  <c r="H5" i="2"/>
  <c r="G17" i="2"/>
  <c r="H214" i="1"/>
  <c r="G214" i="1"/>
  <c r="E214" i="1"/>
  <c r="H209" i="1"/>
  <c r="G209" i="1"/>
  <c r="E209" i="1"/>
  <c r="G22" i="1"/>
  <c r="H23" i="1"/>
  <c r="E22" i="1"/>
  <c r="E23" i="1"/>
  <c r="G23" i="1"/>
  <c r="G218" i="1"/>
  <c r="E217" i="1"/>
  <c r="H218" i="1"/>
  <c r="E218" i="1"/>
  <c r="G217" i="1"/>
  <c r="H217" i="1"/>
  <c r="H17" i="2"/>
  <c r="H15" i="2"/>
  <c r="F17" i="2"/>
  <c r="G15" i="2"/>
  <c r="F15" i="2"/>
  <c r="H3" i="2"/>
  <c r="H6" i="2"/>
  <c r="H7" i="2"/>
  <c r="F3" i="2"/>
  <c r="G5" i="2"/>
  <c r="F6" i="2"/>
  <c r="F7" i="2"/>
  <c r="F83" i="1" l="1"/>
  <c r="F81" i="1"/>
  <c r="F82" i="1"/>
  <c r="F80" i="1"/>
  <c r="F79" i="1"/>
  <c r="E232" i="1"/>
  <c r="H232" i="1"/>
  <c r="G232" i="1"/>
  <c r="F232" i="1"/>
  <c r="H233" i="1"/>
  <c r="G233" i="1"/>
  <c r="F233" i="1"/>
  <c r="E233" i="1"/>
  <c r="E275" i="1"/>
  <c r="H275" i="1"/>
  <c r="G275" i="1"/>
  <c r="F275" i="1"/>
  <c r="H80" i="1"/>
  <c r="G80" i="1"/>
  <c r="E80" i="1"/>
  <c r="H274" i="1"/>
  <c r="G274" i="1"/>
  <c r="F274" i="1"/>
  <c r="E274" i="1"/>
  <c r="H270" i="1"/>
  <c r="G270" i="1"/>
  <c r="F270" i="1"/>
  <c r="E270" i="1"/>
  <c r="E199" i="1"/>
  <c r="H199" i="1"/>
  <c r="G199" i="1"/>
  <c r="F199" i="1"/>
  <c r="E83" i="1"/>
  <c r="H83" i="1"/>
  <c r="G83" i="1"/>
  <c r="H79" i="1"/>
  <c r="G79" i="1"/>
  <c r="E79" i="1"/>
  <c r="H82" i="1"/>
  <c r="G82" i="1"/>
  <c r="E82" i="1"/>
  <c r="H81" i="1"/>
  <c r="E81" i="1"/>
  <c r="G81" i="1"/>
  <c r="H9" i="2"/>
  <c r="G10" i="2"/>
  <c r="F10" i="2"/>
  <c r="H10" i="2"/>
  <c r="G9" i="2"/>
  <c r="F14" i="2"/>
  <c r="F16" i="2"/>
  <c r="H8" i="2"/>
  <c r="G14" i="2"/>
  <c r="H16" i="2"/>
  <c r="F4" i="2"/>
  <c r="H4" i="2"/>
  <c r="H14" i="2"/>
  <c r="G4" i="2"/>
  <c r="F9" i="2"/>
  <c r="G8" i="2"/>
  <c r="F8" i="2"/>
  <c r="G16" i="2"/>
</calcChain>
</file>

<file path=xl/sharedStrings.xml><?xml version="1.0" encoding="utf-8"?>
<sst xmlns="http://schemas.openxmlformats.org/spreadsheetml/2006/main" count="2288" uniqueCount="972">
  <si>
    <t>Gerätebezeichnung</t>
  </si>
  <si>
    <t>Einheit</t>
  </si>
  <si>
    <t>zusammengestellt vom Deutschen Energieholz- und Pellet-Verband e.V. (DEPV)</t>
  </si>
  <si>
    <t>Heizkesseltemperatur im Prüffall bei Nennlast</t>
  </si>
  <si>
    <t>Heizkesseltemperatur im Prüffall bei Teillast</t>
  </si>
  <si>
    <t>Nennleistung des Kessels</t>
  </si>
  <si>
    <t>Bereitschaftsverlust bei mittlerer Kesseltemperatur von 70 °C</t>
  </si>
  <si>
    <t>ÖkoFEN</t>
  </si>
  <si>
    <t>Viessmann</t>
  </si>
  <si>
    <t>Pellettop 15</t>
  </si>
  <si>
    <t xml:space="preserve">Pellettop 25 </t>
  </si>
  <si>
    <t>Pellettop 35</t>
  </si>
  <si>
    <t>Pellettop 49</t>
  </si>
  <si>
    <t>Pellettop 70</t>
  </si>
  <si>
    <t>octoplus 10</t>
  </si>
  <si>
    <t>octoplus 15</t>
  </si>
  <si>
    <t>octoplus 22</t>
  </si>
  <si>
    <t>Wirkungsgrad des Heizkessels bei Nennleistung (heizwertbezogen)</t>
  </si>
  <si>
    <t>Wirkungsgrad des Heizkessels bei Teillast (heizwertbezogen)</t>
  </si>
  <si>
    <t>Gilles</t>
  </si>
  <si>
    <t>Hoval</t>
  </si>
  <si>
    <r>
      <t>P</t>
    </r>
    <r>
      <rPr>
        <vertAlign val="subscript"/>
        <sz val="10"/>
        <color indexed="8"/>
        <rFont val="Calibri"/>
        <family val="2"/>
      </rPr>
      <t>n</t>
    </r>
    <r>
      <rPr>
        <sz val="10"/>
        <color indexed="8"/>
        <rFont val="Calibri"/>
        <family val="2"/>
      </rPr>
      <t xml:space="preserve"> </t>
    </r>
  </si>
  <si>
    <r>
      <t>q</t>
    </r>
    <r>
      <rPr>
        <vertAlign val="subscript"/>
        <sz val="10"/>
        <color indexed="8"/>
        <rFont val="Calibri"/>
        <family val="2"/>
      </rPr>
      <t>P0,70</t>
    </r>
    <r>
      <rPr>
        <sz val="10"/>
        <color indexed="8"/>
        <rFont val="Calibri"/>
        <family val="2"/>
      </rPr>
      <t xml:space="preserve">  </t>
    </r>
  </si>
  <si>
    <r>
      <t>b</t>
    </r>
    <r>
      <rPr>
        <vertAlign val="subscript"/>
        <sz val="10"/>
        <color indexed="8"/>
        <rFont val="Calibri"/>
        <family val="2"/>
      </rPr>
      <t>h,gen,Pint</t>
    </r>
  </si>
  <si>
    <r>
      <t>q</t>
    </r>
    <r>
      <rPr>
        <vertAlign val="subscript"/>
        <sz val="10"/>
        <color indexed="8"/>
        <rFont val="Calibri"/>
        <family val="2"/>
      </rPr>
      <t>gen,Test Pn</t>
    </r>
  </si>
  <si>
    <r>
      <t>q</t>
    </r>
    <r>
      <rPr>
        <vertAlign val="subscript"/>
        <sz val="10"/>
        <color indexed="8"/>
        <rFont val="Calibri"/>
        <family val="2"/>
      </rPr>
      <t>gen,Test Pint</t>
    </r>
  </si>
  <si>
    <r>
      <t>P</t>
    </r>
    <r>
      <rPr>
        <vertAlign val="subscript"/>
        <sz val="10"/>
        <color indexed="8"/>
        <rFont val="Calibri"/>
        <family val="2"/>
      </rPr>
      <t>h,gen,aux</t>
    </r>
  </si>
  <si>
    <r>
      <t>P</t>
    </r>
    <r>
      <rPr>
        <vertAlign val="subscript"/>
        <sz val="10"/>
        <color indexed="8"/>
        <rFont val="Calibri"/>
        <family val="2"/>
      </rPr>
      <t>aux,Pint</t>
    </r>
    <r>
      <rPr>
        <sz val="10"/>
        <color indexed="8"/>
        <rFont val="Calibri"/>
        <family val="2"/>
      </rPr>
      <t xml:space="preserve"> </t>
    </r>
  </si>
  <si>
    <r>
      <t>P</t>
    </r>
    <r>
      <rPr>
        <vertAlign val="subscript"/>
        <sz val="10"/>
        <color indexed="8"/>
        <rFont val="Calibri"/>
        <family val="2"/>
      </rPr>
      <t>aux,P0</t>
    </r>
  </si>
  <si>
    <t>Pelletkessel</t>
  </si>
  <si>
    <t>Solarfocus</t>
  </si>
  <si>
    <t>Mittelwert</t>
  </si>
  <si>
    <t>Formel</t>
  </si>
  <si>
    <t>Gerätetyp</t>
  </si>
  <si>
    <t>Pellematic
PES 36</t>
  </si>
  <si>
    <t>Pellematic
PES 48</t>
  </si>
  <si>
    <t>Pellematic
PES 56</t>
  </si>
  <si>
    <t xml:space="preserve">BioLyt(13) </t>
  </si>
  <si>
    <t xml:space="preserve">BioLyt(15) </t>
  </si>
  <si>
    <t xml:space="preserve">BioLyt(23) </t>
  </si>
  <si>
    <t xml:space="preserve">BioLyt(25) </t>
  </si>
  <si>
    <t xml:space="preserve">BioLyt(31) </t>
  </si>
  <si>
    <t xml:space="preserve">BioLyt(36) </t>
  </si>
  <si>
    <t xml:space="preserve">BioLyt(50) </t>
  </si>
  <si>
    <t xml:space="preserve">BioLyt(70) </t>
  </si>
  <si>
    <t xml:space="preserve">BioLyt(100) </t>
  </si>
  <si>
    <t xml:space="preserve">BioLyt(130) </t>
  </si>
  <si>
    <t xml:space="preserve">BioLyt(160) </t>
  </si>
  <si>
    <t xml:space="preserve">BioLyt(43) </t>
  </si>
  <si>
    <t xml:space="preserve">BioLyt(75) </t>
  </si>
  <si>
    <t xml:space="preserve">BioLyt(150) </t>
  </si>
  <si>
    <t xml:space="preserve">elektrische Leistungsaufnahme des Heizkessels bei Teillast </t>
  </si>
  <si>
    <t>lt. Typenprüfung</t>
  </si>
  <si>
    <t>Vitoligno
300-P</t>
  </si>
  <si>
    <t>Bezeichnung des Kennwerts</t>
  </si>
  <si>
    <t>Abkürzung</t>
  </si>
  <si>
    <t>Gemittelte Herstellerkennwerte</t>
  </si>
  <si>
    <t>Minimalwert</t>
  </si>
  <si>
    <t>Maximalwert</t>
  </si>
  <si>
    <t>elektrische Leistungsaufnahme im Betrieb des Heizkessels</t>
  </si>
  <si>
    <t>elektrische Leistungsaufnahme des Heizkessels bei Betriebsbereitschaft</t>
  </si>
  <si>
    <t>(zwischen 0,3 und 0,5)</t>
  </si>
  <si>
    <r>
      <rPr>
        <b/>
        <sz val="10"/>
        <rFont val="Calibri"/>
        <family val="2"/>
      </rPr>
      <t>Mittelwerte</t>
    </r>
    <r>
      <rPr>
        <sz val="10"/>
        <rFont val="Calibri"/>
        <family val="2"/>
      </rPr>
      <t>, die sinnvoll anstelle der Standardwerte verwendet werden können, sofern Herstellerkennwerte nicht zur Hand sind (nicht bei KfW- und EnEV-nachweisen und Energieausweisen).</t>
    </r>
  </si>
  <si>
    <t>mittl. Abweichung</t>
  </si>
  <si>
    <t>bei der Wärmeerzeugerprüfung zugrundliegende Last (= Teillast)</t>
  </si>
  <si>
    <t>Faktor A</t>
  </si>
  <si>
    <t>Faktor B</t>
  </si>
  <si>
    <t>Faktor C</t>
  </si>
  <si>
    <t>Faktor D</t>
  </si>
  <si>
    <t>kW</t>
  </si>
  <si>
    <t>-</t>
  </si>
  <si>
    <t>°C</t>
  </si>
  <si>
    <t>kein Standardwert</t>
  </si>
  <si>
    <t>Faktor G</t>
  </si>
  <si>
    <t>Faktor H</t>
  </si>
  <si>
    <t>Faktor n</t>
  </si>
  <si>
    <t>Automat. beschickte Pellet-Zentralheizkessel mit Pufferspeicher</t>
  </si>
  <si>
    <t>Bemerkungen</t>
  </si>
  <si>
    <t>Faktor E</t>
  </si>
  <si>
    <t>Faktor F</t>
  </si>
  <si>
    <t>HDG Bavaria</t>
  </si>
  <si>
    <t>HDG K10</t>
  </si>
  <si>
    <t>HDG K15</t>
  </si>
  <si>
    <t>HDG K21</t>
  </si>
  <si>
    <t>HDG K26</t>
  </si>
  <si>
    <t>HDG K35</t>
  </si>
  <si>
    <t>HDG K45</t>
  </si>
  <si>
    <t>HDG K60</t>
  </si>
  <si>
    <t>HDG Compact 25</t>
  </si>
  <si>
    <t>HDG Compact 35</t>
  </si>
  <si>
    <t>HDG Compact 50</t>
  </si>
  <si>
    <t>HDG Compact 65</t>
  </si>
  <si>
    <t>HDG Compact 80</t>
  </si>
  <si>
    <t>HDG Compact 100</t>
  </si>
  <si>
    <t>HDG Compact 105</t>
  </si>
  <si>
    <t>HDG Compact 115</t>
  </si>
  <si>
    <t>HDG Compact 150</t>
  </si>
  <si>
    <t>HDG Compact 200</t>
  </si>
  <si>
    <t>HDG M300</t>
  </si>
  <si>
    <t>HDG M350</t>
  </si>
  <si>
    <t>HDG M400</t>
  </si>
  <si>
    <r>
      <t>η</t>
    </r>
    <r>
      <rPr>
        <vertAlign val="subscript"/>
        <sz val="10"/>
        <color indexed="8"/>
        <rFont val="Calibri"/>
        <family val="2"/>
      </rPr>
      <t xml:space="preserve">gen,Pn </t>
    </r>
  </si>
  <si>
    <r>
      <t>η</t>
    </r>
    <r>
      <rPr>
        <vertAlign val="subscript"/>
        <sz val="10"/>
        <color indexed="8"/>
        <rFont val="Calibri"/>
        <family val="2"/>
      </rPr>
      <t xml:space="preserve">gen,Pint </t>
    </r>
  </si>
  <si>
    <r>
      <t>β</t>
    </r>
    <r>
      <rPr>
        <vertAlign val="subscript"/>
        <sz val="10"/>
        <color indexed="8"/>
        <rFont val="Calibri"/>
        <family val="2"/>
      </rPr>
      <t xml:space="preserve"> </t>
    </r>
    <r>
      <rPr>
        <vertAlign val="subscript"/>
        <sz val="10"/>
        <color indexed="8"/>
        <rFont val="Calibri"/>
        <family val="2"/>
      </rPr>
      <t>h,gen,Pint</t>
    </r>
  </si>
  <si>
    <r>
      <t>θ</t>
    </r>
    <r>
      <rPr>
        <vertAlign val="subscript"/>
        <sz val="10"/>
        <color indexed="8"/>
        <rFont val="Calibri"/>
        <family val="2"/>
      </rPr>
      <t xml:space="preserve"> </t>
    </r>
    <r>
      <rPr>
        <vertAlign val="subscript"/>
        <sz val="10"/>
        <color indexed="8"/>
        <rFont val="Calibri"/>
        <family val="2"/>
      </rPr>
      <t>gen,Test Pn</t>
    </r>
  </si>
  <si>
    <r>
      <t xml:space="preserve">θ </t>
    </r>
    <r>
      <rPr>
        <vertAlign val="subscript"/>
        <sz val="10"/>
        <color indexed="8"/>
        <rFont val="Calibri"/>
        <family val="2"/>
      </rPr>
      <t>gen,Test Pint</t>
    </r>
  </si>
  <si>
    <r>
      <t>θ</t>
    </r>
    <r>
      <rPr>
        <vertAlign val="subscript"/>
        <sz val="10"/>
        <color indexed="8"/>
        <rFont val="Calibri"/>
        <family val="2"/>
      </rPr>
      <t xml:space="preserve"> </t>
    </r>
    <r>
      <rPr>
        <vertAlign val="subscript"/>
        <sz val="10"/>
        <color indexed="8"/>
        <rFont val="Calibri"/>
        <family val="2"/>
      </rPr>
      <t>gen,Test Pint</t>
    </r>
  </si>
  <si>
    <r>
      <t>P</t>
    </r>
    <r>
      <rPr>
        <vertAlign val="subscript"/>
        <sz val="10"/>
        <color indexed="8"/>
        <rFont val="Calibri"/>
        <family val="2"/>
      </rPr>
      <t>aux, Pn</t>
    </r>
    <r>
      <rPr>
        <sz val="10"/>
        <color indexed="8"/>
        <rFont val="Calibri"/>
        <family val="2"/>
      </rPr>
      <t xml:space="preserve"> = P</t>
    </r>
    <r>
      <rPr>
        <vertAlign val="subscript"/>
        <sz val="10"/>
        <color indexed="8"/>
        <rFont val="Calibri"/>
        <family val="2"/>
      </rPr>
      <t>h,gen,aux</t>
    </r>
  </si>
  <si>
    <r>
      <t xml:space="preserve">η </t>
    </r>
    <r>
      <rPr>
        <vertAlign val="subscript"/>
        <sz val="10"/>
        <rFont val="Calibri"/>
        <family val="2"/>
      </rPr>
      <t xml:space="preserve">k,Pint =
</t>
    </r>
    <r>
      <rPr>
        <sz val="10"/>
        <rFont val="Calibri"/>
        <family val="2"/>
      </rPr>
      <t>η</t>
    </r>
    <r>
      <rPr>
        <vertAlign val="subscript"/>
        <sz val="10"/>
        <rFont val="Calibri"/>
        <family val="2"/>
      </rPr>
      <t xml:space="preserve"> gen,Pint</t>
    </r>
  </si>
  <si>
    <t>[kW]</t>
  </si>
  <si>
    <t>[-]</t>
  </si>
  <si>
    <t>[°C]</t>
  </si>
  <si>
    <r>
      <t>h</t>
    </r>
    <r>
      <rPr>
        <vertAlign val="subscript"/>
        <sz val="10"/>
        <color indexed="8"/>
        <rFont val="Calibri"/>
        <family val="2"/>
      </rPr>
      <t xml:space="preserve">gen,Pn </t>
    </r>
  </si>
  <si>
    <r>
      <t>h</t>
    </r>
    <r>
      <rPr>
        <vertAlign val="subscript"/>
        <sz val="10"/>
        <color indexed="8"/>
        <rFont val="Calibri"/>
        <family val="2"/>
      </rPr>
      <t xml:space="preserve">gen,Pint </t>
    </r>
  </si>
  <si>
    <t>Brunner</t>
  </si>
  <si>
    <t>Gemittelte Herstellerkennwerte nach Feuerungstechnik</t>
  </si>
  <si>
    <t>Feuerungstechnik</t>
  </si>
  <si>
    <r>
      <t>θ</t>
    </r>
    <r>
      <rPr>
        <vertAlign val="subscript"/>
        <sz val="10"/>
        <color indexed="8"/>
        <rFont val="Calibri"/>
        <family val="2"/>
      </rPr>
      <t>gen,Test Pint</t>
    </r>
  </si>
  <si>
    <r>
      <t>θ</t>
    </r>
    <r>
      <rPr>
        <vertAlign val="subscript"/>
        <sz val="10"/>
        <color indexed="8"/>
        <rFont val="Calibri"/>
        <family val="2"/>
      </rPr>
      <t>gen,Test Pn</t>
    </r>
  </si>
  <si>
    <t>Spanner Re²</t>
  </si>
  <si>
    <t>PZ 100</t>
  </si>
  <si>
    <t>Bezeichnung des Kennwertes</t>
  </si>
  <si>
    <t>elektrische Leistungsaufnahme  im Betrieb des Heizkessels</t>
  </si>
  <si>
    <t xml:space="preserve">elektrische Leistungsaufnahme  des Heizkessels bei Teillast </t>
  </si>
  <si>
    <t>elektrische Leistungsaufnahme  des Heizkessels bei Betriebsbereitschaft</t>
  </si>
  <si>
    <r>
      <t>η</t>
    </r>
    <r>
      <rPr>
        <vertAlign val="subscript"/>
        <sz val="10"/>
        <color indexed="8"/>
        <rFont val="Calibri"/>
        <family val="2"/>
      </rPr>
      <t xml:space="preserve">gen,Pn </t>
    </r>
  </si>
  <si>
    <r>
      <t>η</t>
    </r>
    <r>
      <rPr>
        <vertAlign val="subscript"/>
        <sz val="10"/>
        <color indexed="8"/>
        <rFont val="Calibri"/>
        <family val="2"/>
      </rPr>
      <t xml:space="preserve">gen,Pint </t>
    </r>
  </si>
  <si>
    <t>Solvis</t>
  </si>
  <si>
    <t>Solvis Lino 4
LI-4-10</t>
  </si>
  <si>
    <t>Solvis Lino 4
LI-4-15</t>
  </si>
  <si>
    <t>Solvis Lino 4
LI-4-21</t>
  </si>
  <si>
    <t>Solvis Lino 4
LI-4-26</t>
  </si>
  <si>
    <t>KWB</t>
  </si>
  <si>
    <t>Pelletfire Plus MF2  S/GS 45</t>
  </si>
  <si>
    <t>Pelletfire Plus MF2  S/GS 50</t>
  </si>
  <si>
    <t>Pelletfire Plus MF2  S/GS 55</t>
  </si>
  <si>
    <t>Pelletfire Plus MF2  S/GS 65</t>
  </si>
  <si>
    <t>Pelletfire Plus MF2  S/GS 70</t>
  </si>
  <si>
    <t>Pelletfire Plus MF2  S/GS 75</t>
  </si>
  <si>
    <t>Easyfire
EF2 S/GS/V 8</t>
  </si>
  <si>
    <t>Easyfire
EF2 S/GS/V 12</t>
  </si>
  <si>
    <t>Easyfire
EF2 S/GS/V 15</t>
  </si>
  <si>
    <t>Easyfire
EF2 S/GS/V 22</t>
  </si>
  <si>
    <t>Easyfire
EF2 S/GS/V 25</t>
  </si>
  <si>
    <t>Easyfire
EF2 S/GS/V 30</t>
  </si>
  <si>
    <t>Easyfire
EF2 S/GS/V 35</t>
  </si>
  <si>
    <t>Easyfire 1
USP V 10</t>
  </si>
  <si>
    <t>Easyfire 1
USP V 15</t>
  </si>
  <si>
    <t>Easyfire 1
USP V 20</t>
  </si>
  <si>
    <t>Powerfire
TDS 150</t>
  </si>
  <si>
    <t>Powerfire
TDS 240</t>
  </si>
  <si>
    <t>Powerfire
TDS 300</t>
  </si>
  <si>
    <r>
      <t>β</t>
    </r>
    <r>
      <rPr>
        <vertAlign val="subscript"/>
        <sz val="10"/>
        <color indexed="8"/>
        <rFont val="Calibri"/>
        <family val="2"/>
      </rPr>
      <t xml:space="preserve"> h,gen,Pint</t>
    </r>
  </si>
  <si>
    <r>
      <t>θ</t>
    </r>
    <r>
      <rPr>
        <vertAlign val="subscript"/>
        <sz val="10"/>
        <color indexed="8"/>
        <rFont val="Calibri"/>
        <family val="2"/>
      </rPr>
      <t xml:space="preserve"> gen,Test Pint</t>
    </r>
  </si>
  <si>
    <t>SHT</t>
  </si>
  <si>
    <t>HDG K10 V2</t>
  </si>
  <si>
    <t>HDG K15 V2</t>
  </si>
  <si>
    <t>HDG K21 V2</t>
  </si>
  <si>
    <t>HDG K26 V2</t>
  </si>
  <si>
    <t xml:space="preserve">Wirkungsgrad des Heizkessels bei Nennleistung (ηk,Pn) in kW (heizwertbezogen) </t>
  </si>
  <si>
    <t xml:space="preserve">Wirkungsgrad des Heizkessels bei Teillast (η k,Pint) in kW
(heizwertbezogen) </t>
  </si>
  <si>
    <t>Pellematic Smart XS 10</t>
  </si>
  <si>
    <t>Pellematic Smart XS 12</t>
  </si>
  <si>
    <t>Pellematic Smart XS 14</t>
  </si>
  <si>
    <t>Pellematic Smart XS 16</t>
  </si>
  <si>
    <t>Pellematic Smart XS 18</t>
  </si>
  <si>
    <t>Pellematic Condens PEK2 10</t>
  </si>
  <si>
    <t>Pellematic Condens PEK2 12</t>
  </si>
  <si>
    <t>Pellematic Condens PEK2 14</t>
  </si>
  <si>
    <t>Pellematic Condens PEK2 16</t>
  </si>
  <si>
    <t>Pellematic Condens PEK2 18</t>
  </si>
  <si>
    <t>Pellematic  Maxi BWT PESK 41</t>
  </si>
  <si>
    <t>Pellematic  Maxi BWT PESK 55</t>
  </si>
  <si>
    <t>Pellematic  Maxi BWT PESK 64</t>
  </si>
  <si>
    <t>hgen,Pn</t>
  </si>
  <si>
    <t>hgen,Pint</t>
  </si>
  <si>
    <t>HP 03 K Flash</t>
  </si>
  <si>
    <t>HP 04 K Flash</t>
  </si>
  <si>
    <t>Balance/K Typ HP02K</t>
  </si>
  <si>
    <t>Pellet-Brennwertkessel</t>
  </si>
  <si>
    <t>Rennergy</t>
  </si>
  <si>
    <t>Vitoligno
300-C (VL3C)
2,4-8 kW</t>
  </si>
  <si>
    <t>Vitoligno
300-C (VL3C)
2,4-12 kW</t>
  </si>
  <si>
    <t>Vitoligno
300-C (VL3C)
6-18 kW</t>
  </si>
  <si>
    <t>Vitoligno
300-C (VL3C)
8-24 kW</t>
  </si>
  <si>
    <t>Vitoligno
300-C (VL3C)
11-32 kW</t>
  </si>
  <si>
    <t>Vitoligno
300-C (VL3C)
13-40 kW</t>
  </si>
  <si>
    <t>Vitoligno
300-C (VL3C)
16-48 kW</t>
  </si>
  <si>
    <t>Vitoligno
300-C (VL3C)
18-60 kW</t>
  </si>
  <si>
    <t>Vitoligno
300-C (VL3C)
21-70 kW</t>
  </si>
  <si>
    <t>Vitoligno
300-C (VL3C)
24-80 kW</t>
  </si>
  <si>
    <t>Vitoligno
300-C (VL3C)
24-99 kW</t>
  </si>
  <si>
    <t>Vitoligno
300-C (VL3C)
24-101 kW</t>
  </si>
  <si>
    <t>Vitoligno
300-H (VH3)
15-50 kW</t>
  </si>
  <si>
    <t>Vitoligno
300-H (VH3)
18-60 kW</t>
  </si>
  <si>
    <t>Vitoligno
300-H (VH3)
24-80 kW</t>
  </si>
  <si>
    <t>Vitoligno
300-H (VH3)
30-99 kW</t>
  </si>
  <si>
    <t>Vitoligno
300-H (VH3)
30-101 kW</t>
  </si>
  <si>
    <t>HDG M175</t>
  </si>
  <si>
    <t>HDG M200</t>
  </si>
  <si>
    <t>HDG M240</t>
  </si>
  <si>
    <t>HDG K33 V2</t>
  </si>
  <si>
    <t>RPE14</t>
  </si>
  <si>
    <t>RPE22</t>
  </si>
  <si>
    <t>RPP25</t>
  </si>
  <si>
    <t>RPP31</t>
  </si>
  <si>
    <t>RPP35</t>
  </si>
  <si>
    <t>RPP40</t>
  </si>
  <si>
    <t>RPP49</t>
  </si>
  <si>
    <t>RPP60</t>
  </si>
  <si>
    <t>Mini 6</t>
  </si>
  <si>
    <t>Mini 9</t>
  </si>
  <si>
    <t>Mini 12</t>
  </si>
  <si>
    <t>Mini 15</t>
  </si>
  <si>
    <t>Mini 20</t>
  </si>
  <si>
    <t>Mini 25</t>
  </si>
  <si>
    <t>Mini 30</t>
  </si>
  <si>
    <t>Mini 32</t>
  </si>
  <si>
    <t>RHP 20
Pellets</t>
  </si>
  <si>
    <t>RHP 35
Pellets</t>
  </si>
  <si>
    <t>RHP 40
Pellets</t>
  </si>
  <si>
    <t>RHP 50
Pellets</t>
  </si>
  <si>
    <t>RHP 60
Pellets</t>
  </si>
  <si>
    <t>RPP 120
Pellets</t>
  </si>
  <si>
    <t>Rennergy Systems</t>
  </si>
  <si>
    <t>Standardwerte und Formeln für Pelletkessel gemäß DIN V 18599:2016-10</t>
  </si>
  <si>
    <t>Heizkesseltyp</t>
  </si>
  <si>
    <t>Baujahr</t>
  </si>
  <si>
    <t>nach 1994</t>
  </si>
  <si>
    <t>Festbrennstoffkessel
(Brennstoff: Pellet)</t>
  </si>
  <si>
    <t>Pelletkessel, System mit Pufferspeicher</t>
  </si>
  <si>
    <t>Pellet-Brennwertkessel, System mit Pufferspeicher</t>
  </si>
  <si>
    <t>Anwendbar für Kessel bis 105 kW.</t>
  </si>
  <si>
    <t>Sofern zusätzlich zum Gebläsebrenner ein Abluftgebläse installiert ist, dann erhöhen sich die Werte Paux,x um 40 %.</t>
  </si>
  <si>
    <r>
      <t xml:space="preserve">(E · ( P </t>
    </r>
    <r>
      <rPr>
        <vertAlign val="subscript"/>
        <sz val="10"/>
        <color indexed="8"/>
        <rFont val="Calibri"/>
        <family val="2"/>
      </rPr>
      <t>n</t>
    </r>
    <r>
      <rPr>
        <sz val="10"/>
        <color indexed="8"/>
        <rFont val="Calibri"/>
        <family val="2"/>
      </rPr>
      <t>)</t>
    </r>
    <r>
      <rPr>
        <vertAlign val="superscript"/>
        <sz val="10"/>
        <color indexed="8"/>
        <rFont val="Calibri"/>
        <family val="2"/>
      </rPr>
      <t>F</t>
    </r>
    <r>
      <rPr>
        <sz val="10"/>
        <color indexed="8"/>
        <rFont val="Calibri"/>
        <family val="2"/>
      </rPr>
      <t>) / 100</t>
    </r>
  </si>
  <si>
    <r>
      <t>P</t>
    </r>
    <r>
      <rPr>
        <vertAlign val="subscript"/>
        <sz val="10"/>
        <color indexed="8"/>
        <rFont val="Calibri"/>
        <family val="2"/>
      </rPr>
      <t>aux, Pn</t>
    </r>
    <r>
      <rPr>
        <sz val="10"/>
        <color indexed="8"/>
        <rFont val="Calibri"/>
        <family val="2"/>
      </rPr>
      <t xml:space="preserve"> = P</t>
    </r>
    <r>
      <rPr>
        <vertAlign val="subscript"/>
        <sz val="10"/>
        <color indexed="8"/>
        <rFont val="Calibri"/>
        <family val="2"/>
      </rPr>
      <t>h,gen,aux</t>
    </r>
  </si>
  <si>
    <r>
      <t>(G + H · (P</t>
    </r>
    <r>
      <rPr>
        <vertAlign val="subscript"/>
        <sz val="10"/>
        <color indexed="8"/>
        <rFont val="Calibri"/>
        <family val="2"/>
      </rPr>
      <t>n</t>
    </r>
    <r>
      <rPr>
        <sz val="10"/>
        <color indexed="8"/>
        <rFont val="Calibri"/>
        <family val="2"/>
      </rPr>
      <t>)</t>
    </r>
    <r>
      <rPr>
        <vertAlign val="superscript"/>
        <sz val="10"/>
        <color indexed="8"/>
        <rFont val="Calibri"/>
        <family val="2"/>
      </rPr>
      <t>n</t>
    </r>
    <r>
      <rPr>
        <sz val="10"/>
        <color indexed="8"/>
        <rFont val="Calibri"/>
        <family val="2"/>
      </rPr>
      <t>)/1000</t>
    </r>
  </si>
  <si>
    <r>
      <t>Bei Einsatz gebläseunterstützter Feuerungen erhöhen sich die Werte von P</t>
    </r>
    <r>
      <rPr>
        <vertAlign val="subscript"/>
        <sz val="10"/>
        <color indexed="8"/>
        <rFont val="Calibri"/>
        <family val="2"/>
      </rPr>
      <t>aux,Pn</t>
    </r>
    <r>
      <rPr>
        <sz val="10"/>
        <color indexed="8"/>
        <rFont val="Calibri"/>
        <family val="2"/>
      </rPr>
      <t xml:space="preserve"> &amp; P</t>
    </r>
    <r>
      <rPr>
        <vertAlign val="subscript"/>
        <sz val="10"/>
        <color indexed="8"/>
        <rFont val="Calibri"/>
        <family val="2"/>
      </rPr>
      <t>aux,Pint</t>
    </r>
    <r>
      <rPr>
        <sz val="10"/>
        <color indexed="8"/>
        <rFont val="Calibri"/>
        <family val="2"/>
      </rPr>
      <t xml:space="preserve"> um 40 %.</t>
    </r>
  </si>
  <si>
    <r>
      <t>η</t>
    </r>
    <r>
      <rPr>
        <vertAlign val="subscript"/>
        <sz val="10"/>
        <rFont val="Calibri"/>
        <family val="2"/>
      </rPr>
      <t xml:space="preserve"> k, Pn</t>
    </r>
    <r>
      <rPr>
        <sz val="10"/>
        <rFont val="Calibri"/>
        <family val="2"/>
      </rPr>
      <t xml:space="preserve"> =
η</t>
    </r>
    <r>
      <rPr>
        <vertAlign val="subscript"/>
        <sz val="10"/>
        <rFont val="Calibri"/>
        <family val="2"/>
      </rPr>
      <t xml:space="preserve"> gen, Pn</t>
    </r>
  </si>
  <si>
    <r>
      <t>(A + B · log</t>
    </r>
    <r>
      <rPr>
        <vertAlign val="subscript"/>
        <sz val="10"/>
        <rFont val="Calibri"/>
        <family val="2"/>
      </rPr>
      <t xml:space="preserve"> 10</t>
    </r>
    <r>
      <rPr>
        <sz val="10"/>
        <rFont val="Calibri"/>
        <family val="2"/>
      </rPr>
      <t xml:space="preserve"> (P</t>
    </r>
    <r>
      <rPr>
        <vertAlign val="subscript"/>
        <sz val="10"/>
        <rFont val="Calibri"/>
        <family val="2"/>
      </rPr>
      <t>n</t>
    </r>
    <r>
      <rPr>
        <sz val="10"/>
        <rFont val="Calibri"/>
        <family val="2"/>
      </rPr>
      <t>))/100</t>
    </r>
  </si>
  <si>
    <r>
      <t>(C + D · log</t>
    </r>
    <r>
      <rPr>
        <vertAlign val="subscript"/>
        <sz val="10"/>
        <rFont val="Calibri"/>
        <family val="2"/>
      </rPr>
      <t xml:space="preserve"> 10</t>
    </r>
    <r>
      <rPr>
        <sz val="10"/>
        <rFont val="Calibri"/>
        <family val="2"/>
      </rPr>
      <t xml:space="preserve"> (P</t>
    </r>
    <r>
      <rPr>
        <vertAlign val="subscript"/>
        <sz val="10"/>
        <rFont val="Calibri"/>
        <family val="2"/>
      </rPr>
      <t>n</t>
    </r>
    <r>
      <rPr>
        <sz val="10"/>
        <rFont val="Calibri"/>
        <family val="2"/>
      </rPr>
      <t>))/100</t>
    </r>
  </si>
  <si>
    <t>Hargassner</t>
  </si>
  <si>
    <t>Nano PK 6.2 Niedertemperatur</t>
  </si>
  <si>
    <t>Nano PK 7.2 Niedertemperatur</t>
  </si>
  <si>
    <t>Nano PK 9.2 Niedertemperatur</t>
  </si>
  <si>
    <t>Nano PK 12.2 Niedertemperatur</t>
  </si>
  <si>
    <t>Nano PK 15.2 Niedertemperatur</t>
  </si>
  <si>
    <t>Nano-PK 6.2</t>
  </si>
  <si>
    <t>Nano-PK 7.2</t>
  </si>
  <si>
    <t>Nano PK 9.2</t>
  </si>
  <si>
    <t>Nano-PK 12.2</t>
  </si>
  <si>
    <t>Nano-PK 15.2</t>
  </si>
  <si>
    <t>Nano-PK 20.2</t>
  </si>
  <si>
    <t>Nano-PK 25.2</t>
  </si>
  <si>
    <t>Nano-PK 30.2</t>
  </si>
  <si>
    <t>Nano-PK 32.2</t>
  </si>
  <si>
    <t>Nano PK 6.3</t>
  </si>
  <si>
    <t>Nano PK 7.3</t>
  </si>
  <si>
    <t>Nano PK 9.3</t>
  </si>
  <si>
    <t>Nano PK 12.3</t>
  </si>
  <si>
    <t>Nano PK 15.3</t>
  </si>
  <si>
    <t>Nano PK 6.3 Plus</t>
  </si>
  <si>
    <t>Nano PK 7.3 Plus</t>
  </si>
  <si>
    <t>Nano PK 9.3 Plus</t>
  </si>
  <si>
    <t>Nano PK 12.3 Plus</t>
  </si>
  <si>
    <t>Nano PK 15.3 Plus</t>
  </si>
  <si>
    <t>Classic 9</t>
  </si>
  <si>
    <t>Classic 12</t>
  </si>
  <si>
    <t>Classic 14</t>
  </si>
  <si>
    <t>Classic 15</t>
  </si>
  <si>
    <t>Classic 22</t>
  </si>
  <si>
    <t>Classic 25
Lambda</t>
  </si>
  <si>
    <t>Classic 31
Lambda</t>
  </si>
  <si>
    <t>Classic 35
Lambda</t>
  </si>
  <si>
    <t>Classic 40
Lambda</t>
  </si>
  <si>
    <t>Classic 49
Lambda</t>
  </si>
  <si>
    <t>Classic 60
Lambda</t>
  </si>
  <si>
    <t>RHP 30
Pellets</t>
  </si>
  <si>
    <r>
      <t>θ</t>
    </r>
    <r>
      <rPr>
        <vertAlign val="subscript"/>
        <sz val="10"/>
        <color indexed="8"/>
        <rFont val="Calibri"/>
        <family val="2"/>
      </rPr>
      <t xml:space="preserve"> gen,Test Pn</t>
    </r>
  </si>
  <si>
    <t>ETA</t>
  </si>
  <si>
    <t>Fröling</t>
  </si>
  <si>
    <t>Ökofen</t>
  </si>
  <si>
    <t>Paradigma</t>
  </si>
  <si>
    <t>TX 150</t>
  </si>
  <si>
    <t>TX 200</t>
  </si>
  <si>
    <t>TX 225</t>
  </si>
  <si>
    <t>TX 250</t>
  </si>
  <si>
    <t>Turbomat 150</t>
  </si>
  <si>
    <t>Turbomat 200</t>
  </si>
  <si>
    <t>Turbomat 250</t>
  </si>
  <si>
    <t>Turbomat 300</t>
  </si>
  <si>
    <t>Turbomat 320</t>
  </si>
  <si>
    <t>Turbomat 400</t>
  </si>
  <si>
    <t>Turbomat 500</t>
  </si>
  <si>
    <t>TI 350</t>
  </si>
  <si>
    <t>P4 Pellet 15 BW</t>
  </si>
  <si>
    <t>P4 Pellet 20 BW</t>
  </si>
  <si>
    <t>P4 Pellet 25 BW</t>
  </si>
  <si>
    <t>P4 Pellet 32 BW</t>
  </si>
  <si>
    <t>P4 Pellet 38 BW</t>
  </si>
  <si>
    <t>P4 Pellet 48 BW</t>
  </si>
  <si>
    <t>P4 Pellet 60 BW</t>
  </si>
  <si>
    <t>SP Dual 15</t>
  </si>
  <si>
    <t>SP Dual 22</t>
  </si>
  <si>
    <t>SP Dual 28</t>
  </si>
  <si>
    <t>SP Dual 34</t>
  </si>
  <si>
    <t>SP Dual 40</t>
  </si>
  <si>
    <t>Pelletti Touch PES 12</t>
  </si>
  <si>
    <t>Pelletti Touch PES 15</t>
  </si>
  <si>
    <t>Pelletti Touch PES 20</t>
  </si>
  <si>
    <t>Pelletti Touch PES 25</t>
  </si>
  <si>
    <t>Pelletti Touch PES 32</t>
  </si>
  <si>
    <t>Pelletti Maxi Touch PES 36</t>
  </si>
  <si>
    <t>Pelletti Maxi Touch PES 48</t>
  </si>
  <si>
    <t>Pelletti Maxi Touch PES 56</t>
  </si>
  <si>
    <t>PELEO
10</t>
  </si>
  <si>
    <t>PELEO
12</t>
  </si>
  <si>
    <t>PELEO
14</t>
  </si>
  <si>
    <t>PELEO
16</t>
  </si>
  <si>
    <t>PELEO OPTIMA
10</t>
  </si>
  <si>
    <t>PELEO OPTIMA
12</t>
  </si>
  <si>
    <t>PELEO OPTIMA
14</t>
  </si>
  <si>
    <t>PELEO OPTIMA
16</t>
  </si>
  <si>
    <t>PELEO OPTIMA
18</t>
  </si>
  <si>
    <t>Pelletti Touch BWT
PESK 25</t>
  </si>
  <si>
    <t>Pelletti Touch BWT
PESK 32</t>
  </si>
  <si>
    <t>Pelletti Maxi Touch BWT
PESK 41</t>
  </si>
  <si>
    <t>Pelletti Maxi Touch BWT
PESK 49</t>
  </si>
  <si>
    <t>Pelletti Maxi Touch BWT
PESK 55</t>
  </si>
  <si>
    <t>Pelletti Maxi Touch BWT
PESK 64</t>
  </si>
  <si>
    <t>Pradigma</t>
  </si>
  <si>
    <t>SP Dual compact 15 BW</t>
  </si>
  <si>
    <t>SP Dual compact 20 BW</t>
  </si>
  <si>
    <t>T4 - 70 (F)</t>
  </si>
  <si>
    <t>T4 - 24
BW (PE)</t>
  </si>
  <si>
    <t>PE1
Pellet 7</t>
  </si>
  <si>
    <t>PE1
Pellet 10</t>
  </si>
  <si>
    <t>PE1
Pellet 15</t>
  </si>
  <si>
    <t>PE1
Pellet 20</t>
  </si>
  <si>
    <t>PE1
Pellet 25</t>
  </si>
  <si>
    <t>PE1
Pellet 30</t>
  </si>
  <si>
    <t>PE1
Pellet 35</t>
  </si>
  <si>
    <t>P4
 Pellet 15</t>
  </si>
  <si>
    <t>P4
 Pellet 20</t>
  </si>
  <si>
    <t>P4
 Pellet 25</t>
  </si>
  <si>
    <t>P4
 Pellet 32</t>
  </si>
  <si>
    <t>P4
 Pellet 38</t>
  </si>
  <si>
    <t>P4
 Pellet 48</t>
  </si>
  <si>
    <t>P4
 Pellet 60</t>
  </si>
  <si>
    <t>P4
 Pellet 70 (F)</t>
  </si>
  <si>
    <t>P4
 Pellet 80</t>
  </si>
  <si>
    <t>P4
 Pellet 100</t>
  </si>
  <si>
    <t>P4
 Pellet 105</t>
  </si>
  <si>
    <t>SP Dual compact 15</t>
  </si>
  <si>
    <t>SP Dual compact 20</t>
  </si>
  <si>
    <t>T4 - 24</t>
  </si>
  <si>
    <t>T4 - 30</t>
  </si>
  <si>
    <t>T4 - 40</t>
  </si>
  <si>
    <t>T4 - 50</t>
  </si>
  <si>
    <t>T4 - 60</t>
  </si>
  <si>
    <t>T4 - 75</t>
  </si>
  <si>
    <t>T4 - 90</t>
  </si>
  <si>
    <t>T4 - 100</t>
  </si>
  <si>
    <t>T4 - 110</t>
  </si>
  <si>
    <t>T4 - 130</t>
  </si>
  <si>
    <t>T4 - 150</t>
  </si>
  <si>
    <t>PE1 Pellet 15 BW</t>
  </si>
  <si>
    <t>PE1 Pellet 20 BW</t>
  </si>
  <si>
    <t>Windhager</t>
  </si>
  <si>
    <t>BioWIN2
BW102</t>
  </si>
  <si>
    <t>BioWIN2
BW152</t>
  </si>
  <si>
    <t>BioWIN2
BW212</t>
  </si>
  <si>
    <t>BioWIN2
BW262</t>
  </si>
  <si>
    <t>BioWIN2
BW332</t>
  </si>
  <si>
    <t>BioWINXL
BWE350</t>
  </si>
  <si>
    <t>BioWINXL
BWE450</t>
  </si>
  <si>
    <t>BioWINXL
BWE600</t>
  </si>
  <si>
    <t>FireWIN
FW90</t>
  </si>
  <si>
    <t>FireWIN
FW120</t>
  </si>
  <si>
    <t>BioWIN2Plus
BW102P</t>
  </si>
  <si>
    <t>BioWIN2Plus
BW152P</t>
  </si>
  <si>
    <t>BioWIN2Plus
BW212P</t>
  </si>
  <si>
    <t>BioWIN2Plus
BW262P</t>
  </si>
  <si>
    <t>PU 7</t>
  </si>
  <si>
    <t>PU 11</t>
  </si>
  <si>
    <t>PU 15</t>
  </si>
  <si>
    <t>PC 20</t>
  </si>
  <si>
    <t>PC 25</t>
  </si>
  <si>
    <t>PC 32</t>
  </si>
  <si>
    <t>PC 33</t>
  </si>
  <si>
    <t>PC 40</t>
  </si>
  <si>
    <t>PC 45</t>
  </si>
  <si>
    <t>PC 50</t>
  </si>
  <si>
    <t>PC 60</t>
  </si>
  <si>
    <t>PC 70</t>
  </si>
  <si>
    <t>PC 80</t>
  </si>
  <si>
    <t>PC 100</t>
  </si>
  <si>
    <t>PC 105</t>
  </si>
  <si>
    <t>PE-K 105</t>
  </si>
  <si>
    <t>PE-K 110</t>
  </si>
  <si>
    <t>PE-K 140</t>
  </si>
  <si>
    <t>PE-K 180</t>
  </si>
  <si>
    <t>PE-K 199</t>
  </si>
  <si>
    <t>PE-K 220</t>
  </si>
  <si>
    <t>eHack 25</t>
  </si>
  <si>
    <t>eHack 32</t>
  </si>
  <si>
    <t>eHack 45</t>
  </si>
  <si>
    <t>eHack 50</t>
  </si>
  <si>
    <t>eHack 60</t>
  </si>
  <si>
    <t>eHack 70</t>
  </si>
  <si>
    <t>eHack 80</t>
  </si>
  <si>
    <t>eHack 100</t>
  </si>
  <si>
    <t>eHack 110</t>
  </si>
  <si>
    <t>eHack 120</t>
  </si>
  <si>
    <t>eHack 130</t>
  </si>
  <si>
    <t>ETA TWIN 20</t>
  </si>
  <si>
    <t>ETA TWIN 26</t>
  </si>
  <si>
    <t>ETA TWIN 40</t>
  </si>
  <si>
    <t>ETA TWIN 50</t>
  </si>
  <si>
    <t>Hackgutkessel im Pelletbetrieb</t>
  </si>
  <si>
    <t>Pelletbrenner Stückholzkessel</t>
  </si>
  <si>
    <t>Pellematic Compact 
PES2 10</t>
  </si>
  <si>
    <t>Pellematic Compact PES2 12</t>
  </si>
  <si>
    <t>Pellematic Compact PES2 16</t>
  </si>
  <si>
    <t>Pellematic  Maxi BWT PESK 49</t>
  </si>
  <si>
    <t>Pellematic PES 12</t>
  </si>
  <si>
    <t>Pellematic
PES 15</t>
  </si>
  <si>
    <t>Pellematic
PES 20</t>
  </si>
  <si>
    <t>Pellematic
PES 25</t>
  </si>
  <si>
    <t>Pellematic
PES 32</t>
  </si>
  <si>
    <t>Pellematic Compact PES2 14</t>
  </si>
  <si>
    <t>Pellematic Plus PESK 25</t>
  </si>
  <si>
    <t>Pellematic Plus PESK 32</t>
  </si>
  <si>
    <t>Hack VR 333</t>
  </si>
  <si>
    <t>Hack VR 350</t>
  </si>
  <si>
    <t>Hack VR 500</t>
  </si>
  <si>
    <t>Hackgutkessel im Pelletsbetrieb</t>
  </si>
  <si>
    <t>Pellet-Brenn-wertkessel</t>
  </si>
  <si>
    <t>Energetische Kennwerte von Pelletkessel in der Systematik der DIN V 18599</t>
  </si>
  <si>
    <t>ePE-K 100</t>
  </si>
  <si>
    <t>ePE-K 110</t>
  </si>
  <si>
    <t>ePE-K 120</t>
  </si>
  <si>
    <t>ePE-K 130</t>
  </si>
  <si>
    <t>Hack VR 250</t>
  </si>
  <si>
    <t>Easyfire
EF2 S/GS/V 38</t>
  </si>
  <si>
    <t>Easyfire 1 Plus
USP GS 10</t>
  </si>
  <si>
    <t>Easyfire 1 Plus
USP GS 15</t>
  </si>
  <si>
    <t>Easyfire 1 Plus
USP GS 20</t>
  </si>
  <si>
    <t>Multifire 
MF2 D/ZI 20</t>
  </si>
  <si>
    <t>Multifire 
MF2 D/ZI 30</t>
  </si>
  <si>
    <t>Multifire 
MF2 D/ZI 40</t>
  </si>
  <si>
    <t>Multifire 
MF2 D/ZI 45</t>
  </si>
  <si>
    <t>Multifire 
MF2 D/ZI 50</t>
  </si>
  <si>
    <t>Multifire 
MF2 D/ZI 60</t>
  </si>
  <si>
    <t>Multifire 
MF2 D/ZI 65</t>
  </si>
  <si>
    <t>Multifire 
MF2 D/ZI 70</t>
  </si>
  <si>
    <t>Multifire 
MF2 D/ZI 80</t>
  </si>
  <si>
    <t>Multifire 
MF2 D/ZI 100</t>
  </si>
  <si>
    <t>Multifire 
MF2 D/ZI 108</t>
  </si>
  <si>
    <t>Multifire 
MF2 D/ZI 120</t>
  </si>
  <si>
    <t>Multifire 
MF2 R D/ZI 40</t>
  </si>
  <si>
    <t>Multifire 
MF2 R D/ZI 45</t>
  </si>
  <si>
    <t>Multifire 
MF2 R D/ZI 50</t>
  </si>
  <si>
    <t>Multifire 
MF2 R D/ZI 60</t>
  </si>
  <si>
    <t>Multifire 
MF2 R D/ZI 65</t>
  </si>
  <si>
    <t>Multifire 
MF2 R D/ZI 70</t>
  </si>
  <si>
    <t>Multifire 
MF2 R D/ZI 80</t>
  </si>
  <si>
    <t>Multifire 
MF2 R D/ZI 100</t>
  </si>
  <si>
    <t>Multifire 
MF2 R D/ZI 108</t>
  </si>
  <si>
    <t>Multifire 
MF2 R D/ZI 120</t>
  </si>
  <si>
    <t>Multifire 
MF2 ER D/ZI 40</t>
  </si>
  <si>
    <t>Multifire 
MF2 ER D/ZI 45</t>
  </si>
  <si>
    <t>Multifire 
MF2 ER D/ZI 50</t>
  </si>
  <si>
    <t>Multifire 
MF2 ER D/ZI 60</t>
  </si>
  <si>
    <t>Multifire 
MF2 ER D/ZI 65</t>
  </si>
  <si>
    <t>Multifire 
MF2 ER D/ZI 70</t>
  </si>
  <si>
    <t>Multifire 
MF2 ER D/ZI 80</t>
  </si>
  <si>
    <t>Multifire 
MF2 ER D/ZI 100</t>
  </si>
  <si>
    <t>Multifire 
MF2 ER D/ZI 108</t>
  </si>
  <si>
    <t>Multifire 
MF2 ER D/ZI 120</t>
  </si>
  <si>
    <t>Easyfire CC4
EF2 S/GS/V 10</t>
  </si>
  <si>
    <t>Easyfire CC4
EF2 S/GS/V 12</t>
  </si>
  <si>
    <t>Easyfire CC4
EF2 S/GS/V 15</t>
  </si>
  <si>
    <t>Easyfire CC4
EF2 S/GS/V 22</t>
  </si>
  <si>
    <t>Easyfire CC4
EF2 S/GS/V 25</t>
  </si>
  <si>
    <t>Easyfire CC4
EF2 S/GS/V 30</t>
  </si>
  <si>
    <t>Easyfire CC4
EF2 S/GS/V 35</t>
  </si>
  <si>
    <t>Easyfire CC4
EF2 S/GS/V 40</t>
  </si>
  <si>
    <t>Pelletfire Plus MF2 R S/GS 45</t>
  </si>
  <si>
    <t>Pelletfire Plus MF2 R S/GS 50</t>
  </si>
  <si>
    <t>Pelletfire Plus MF2 R S/GS 55</t>
  </si>
  <si>
    <t>Pelletfire Plus MF2 R S/GS 65</t>
  </si>
  <si>
    <t>Pelletfire Plus MF2 R S/GS 70</t>
  </si>
  <si>
    <t>Pelletfire Plus MF2 R S/GS 75</t>
  </si>
  <si>
    <t>Pelletfire Plus MF2 R S/GS 95</t>
  </si>
  <si>
    <t>Pelletfire Plus MF2 R S/GS 100</t>
  </si>
  <si>
    <t>Pelletfire Plus MF2 R S/GS 108</t>
  </si>
  <si>
    <t>Pelletfire Plus MF2 R S/GS 115</t>
  </si>
  <si>
    <t>Pelletfire Plus MF2 R S/GS 125</t>
  </si>
  <si>
    <t>Pelletfire Plus MF2 R S/GS 135</t>
  </si>
  <si>
    <t>Pelletfire Plus MF2 ER S/GS 45</t>
  </si>
  <si>
    <t>Pelletfire Plus MF2 ER S/GS 50</t>
  </si>
  <si>
    <t>Pelletfire Plus MF2 ER S/GS 55</t>
  </si>
  <si>
    <t>Pelletfire Plus MF2 ER S/GS 65</t>
  </si>
  <si>
    <t>Pelletfire Plus MF2 ER S/GS 70</t>
  </si>
  <si>
    <t>Pelletfire Plus MF2 ER S/GS 75</t>
  </si>
  <si>
    <t>Pelletfire Plus MF2 ER S/GS 95</t>
  </si>
  <si>
    <t>Pelletfire Plus MF2 ER S/GS 100</t>
  </si>
  <si>
    <t>Pelletfire Plus MF2 ER S/GS 108</t>
  </si>
  <si>
    <t>Pelletfire Plus MF2 ER S/GS 115</t>
  </si>
  <si>
    <t>Pelletfire Plus MF2 ER S/GS 125</t>
  </si>
  <si>
    <t>Pelletfire Plus MF2 ER S/GS 135</t>
  </si>
  <si>
    <t>mittlere Abweichung</t>
  </si>
  <si>
    <t>Statistische Auswertung</t>
  </si>
  <si>
    <t>Heizomat</t>
  </si>
  <si>
    <t>Herz Energietechnik</t>
  </si>
  <si>
    <t>pelletstar 10 CONDENSATION</t>
  </si>
  <si>
    <t>pelletstar 12 CONDENSATION</t>
  </si>
  <si>
    <t>pelletstar 14 CONDENSATION</t>
  </si>
  <si>
    <t>pelletstar 16 CONDENSATION</t>
  </si>
  <si>
    <t>pelletstar 20 CONDENSATION</t>
  </si>
  <si>
    <t>pelletstar 30 CONDENSATION</t>
  </si>
  <si>
    <t>pelletstar 45 CONDENSATION</t>
  </si>
  <si>
    <t>pelletstar 60 CONDENSATION</t>
  </si>
  <si>
    <t>HERZ Energietechnik</t>
  </si>
  <si>
    <t>pelletstar 10</t>
  </si>
  <si>
    <t>pelletstar 20</t>
  </si>
  <si>
    <t>pelletstar 30</t>
  </si>
  <si>
    <t>pelletstar 45</t>
  </si>
  <si>
    <t>pelletstar 60</t>
  </si>
  <si>
    <t>pelletstar 10 ECO</t>
  </si>
  <si>
    <t>pelletstar 20 ECO</t>
  </si>
  <si>
    <t>pelletstar 30 ECO</t>
  </si>
  <si>
    <t>pelletstar 45 ECO</t>
  </si>
  <si>
    <t>pelletstar 60 ECO</t>
  </si>
  <si>
    <t>ePE-K 140</t>
  </si>
  <si>
    <t>ePE-K 150</t>
  </si>
  <si>
    <t>ePE-K 160</t>
  </si>
  <si>
    <t>ePE-K 170</t>
  </si>
  <si>
    <t>ePE-K 180</t>
  </si>
  <si>
    <t>ePE-K 200</t>
  </si>
  <si>
    <t>ePE-K 220</t>
  </si>
  <si>
    <t>ePE-K 240</t>
  </si>
  <si>
    <t>eHack 140</t>
  </si>
  <si>
    <t>eHack 150</t>
  </si>
  <si>
    <t>eHack 160</t>
  </si>
  <si>
    <t>eHack 170</t>
  </si>
  <si>
    <t>eHack 180</t>
  </si>
  <si>
    <t>eHack 200</t>
  </si>
  <si>
    <t>eHack 220</t>
  </si>
  <si>
    <t>eHack 240</t>
  </si>
  <si>
    <t>PE1c Pellet 16</t>
  </si>
  <si>
    <t>PE1c Pellet 22</t>
  </si>
  <si>
    <t>SP Dual 28 BW</t>
  </si>
  <si>
    <t>PT4 - 130</t>
  </si>
  <si>
    <t>PT4 - 150</t>
  </si>
  <si>
    <t>T4e - 80</t>
  </si>
  <si>
    <t>T4e - 90</t>
  </si>
  <si>
    <t>T4e - 100</t>
  </si>
  <si>
    <t>T4e - 110</t>
  </si>
  <si>
    <t>T4e - 120</t>
  </si>
  <si>
    <t>T4e - 200</t>
  </si>
  <si>
    <t>T4e - 250</t>
  </si>
  <si>
    <t>PT4e - 120</t>
  </si>
  <si>
    <t>PT4e - 200</t>
  </si>
  <si>
    <t>PT4e - 250</t>
  </si>
  <si>
    <t>HPK-RA 12,5</t>
  </si>
  <si>
    <t>HPK-RA 14,5</t>
  </si>
  <si>
    <t>HPK-RA 15</t>
  </si>
  <si>
    <t>HPK-RA 19,5</t>
  </si>
  <si>
    <t>HPK-RA 20</t>
  </si>
  <si>
    <t>HPK-RA 25</t>
  </si>
  <si>
    <t>HPK-RA 30</t>
  </si>
  <si>
    <t>HPK-RA 35</t>
  </si>
  <si>
    <t>HPK-RA 40</t>
  </si>
  <si>
    <t>HPK-RA 49</t>
  </si>
  <si>
    <t>HPK-RA 59</t>
  </si>
  <si>
    <t>HPK-RA 75</t>
  </si>
  <si>
    <t>HPK-RA 85</t>
  </si>
  <si>
    <t>HPK-RA 100</t>
  </si>
  <si>
    <t>HPK-RA 120</t>
  </si>
  <si>
    <t>HPK-RA 145</t>
  </si>
  <si>
    <t>HPK-RA 160</t>
  </si>
  <si>
    <t>Nano-PK 20.2 Niedertemperatur</t>
  </si>
  <si>
    <t>Nano-PK 25.2 Niedertemperatur</t>
  </si>
  <si>
    <t>Nano-PK 6.2 Plus</t>
  </si>
  <si>
    <t>Nano-PK 7.2 Plus</t>
  </si>
  <si>
    <t>Nano PK 9.2 Plus</t>
  </si>
  <si>
    <t>Nano-PK 12.2 Plus</t>
  </si>
  <si>
    <t>Nano-PK 15.2 Plus</t>
  </si>
  <si>
    <t>Nano-PK 20.2 Plus</t>
  </si>
  <si>
    <t>Nano-PK 25.2 Plus</t>
  </si>
  <si>
    <t>Nano-PK 30.2 Plus</t>
  </si>
  <si>
    <t>Nano-PK 32.2 Plus</t>
  </si>
  <si>
    <t>Smart-PK 15</t>
  </si>
  <si>
    <t>Smart-PK 17</t>
  </si>
  <si>
    <t>Smart-PK 20</t>
  </si>
  <si>
    <t>Smart-PK 25</t>
  </si>
  <si>
    <t>Smart-PK 32</t>
  </si>
  <si>
    <t>Eco-HK 20
Holzpellets</t>
  </si>
  <si>
    <t>Eco-HK 30
Holzpellets</t>
  </si>
  <si>
    <t>Eco-HK 35
Holzpellets</t>
  </si>
  <si>
    <t>Eco-HK 40
Holzpellets</t>
  </si>
  <si>
    <t>Eco-HK 50
Holzpellets</t>
  </si>
  <si>
    <t>Eco-HK 60
Holzpellets</t>
  </si>
  <si>
    <t>Eco-HK 65
Holzpellets</t>
  </si>
  <si>
    <t>Eco-HK 70
Holzpellets</t>
  </si>
  <si>
    <t>Eco-HK 90
Holzpellets</t>
  </si>
  <si>
    <t>Eco-HK 100
Holzpellets</t>
  </si>
  <si>
    <t>Eco-HK 110
Holzpellets</t>
  </si>
  <si>
    <t>Eco-PK 130</t>
  </si>
  <si>
    <t>Eco-HK 130
Holzpellets</t>
  </si>
  <si>
    <t>Eco-PK 150</t>
  </si>
  <si>
    <t>Eco-HK 150
Holzpellets</t>
  </si>
  <si>
    <t>Eco-PK 170</t>
  </si>
  <si>
    <t>Eco-HK 170
Holzpellets</t>
  </si>
  <si>
    <t>Eco-PK 200</t>
  </si>
  <si>
    <t>Eco-HK 200
Holzpellets</t>
  </si>
  <si>
    <t>Eco-PK 220</t>
  </si>
  <si>
    <t>Eco-PK 225</t>
  </si>
  <si>
    <t>Eco-HK 225
Holzpellets</t>
  </si>
  <si>
    <t>Eco-HK 250
Holzpellets</t>
  </si>
  <si>
    <t>Eco-HK 300
Holzpellets</t>
  </si>
  <si>
    <t>Eco-HK 330
Holzpellets</t>
  </si>
  <si>
    <t>HDG Compact 95</t>
  </si>
  <si>
    <t>HDG Compact 95 E</t>
  </si>
  <si>
    <t>HERZ Energietechnik GmbH</t>
  </si>
  <si>
    <t>firematic 30 CONDENSATION</t>
  </si>
  <si>
    <t>firematic 40 CONDENSATION</t>
  </si>
  <si>
    <t>firematic 20</t>
  </si>
  <si>
    <t>firematic 35</t>
  </si>
  <si>
    <t>firematic45</t>
  </si>
  <si>
    <t>firematic 60</t>
  </si>
  <si>
    <t>firematic 80</t>
  </si>
  <si>
    <t>firematic 101</t>
  </si>
  <si>
    <t>firematic 120</t>
  </si>
  <si>
    <t>firematic 130</t>
  </si>
  <si>
    <t>firematic 149</t>
  </si>
  <si>
    <t>firematic 151</t>
  </si>
  <si>
    <t>firematic 180</t>
  </si>
  <si>
    <t>firematic 199</t>
  </si>
  <si>
    <t>firematic 201</t>
  </si>
  <si>
    <t>firematic 249</t>
  </si>
  <si>
    <t>firematic 251</t>
  </si>
  <si>
    <t>firematic 299</t>
  </si>
  <si>
    <t>firematic 301</t>
  </si>
  <si>
    <t>firematic 349</t>
  </si>
  <si>
    <t>firematic 351</t>
  </si>
  <si>
    <t>firematic 399</t>
  </si>
  <si>
    <t>firematic 401</t>
  </si>
  <si>
    <t>firematic 499</t>
  </si>
  <si>
    <t>firematic 501</t>
  </si>
  <si>
    <t>Hackgut/Pelletskessel (Pelletbetrieb)</t>
  </si>
  <si>
    <t>Hackgut/Pellets Brennwertkessel (Pelletbetrieb)</t>
  </si>
  <si>
    <t>pelletfire 20/20</t>
  </si>
  <si>
    <t>pelletfire 30/30</t>
  </si>
  <si>
    <t>pelletfire 40/30</t>
  </si>
  <si>
    <t>Stückholz/Pelletskessel (Pelletbetrieb)</t>
  </si>
  <si>
    <t>firematic 100</t>
  </si>
  <si>
    <t>Hack VR 463</t>
  </si>
  <si>
    <t>T4e - 130</t>
  </si>
  <si>
    <t>T4e - 140</t>
  </si>
  <si>
    <t>T4e - 150</t>
  </si>
  <si>
    <t>T4e - 160</t>
  </si>
  <si>
    <t>T4e - 170</t>
  </si>
  <si>
    <t xml:space="preserve"> PE1 Pellet 25 BW</t>
  </si>
  <si>
    <t xml:space="preserve"> PE1 Pellet 30 BW</t>
  </si>
  <si>
    <t xml:space="preserve"> PE1 Pellet 35 BW</t>
  </si>
  <si>
    <t>Eco-PK 220
Holzpellets</t>
  </si>
  <si>
    <t>Eco-PK 230</t>
  </si>
  <si>
    <t>Eco-HK 230 Holzpellets</t>
  </si>
  <si>
    <t>Eco-PK 250</t>
  </si>
  <si>
    <t>Eco-PK 300</t>
  </si>
  <si>
    <t>Eco-PK 330</t>
  </si>
  <si>
    <t>HDG Compact 50 E</t>
  </si>
  <si>
    <t>HDG Compact 65E</t>
  </si>
  <si>
    <t>HDG Compact 80 E</t>
  </si>
  <si>
    <t>Stückholz-Pelletkessel (Pelletbetrieb)</t>
  </si>
  <si>
    <t>Pellematic Compact PES2 18</t>
  </si>
  <si>
    <t>Pellematic Condens PEK3 22</t>
  </si>
  <si>
    <t>Pellematic Condens PEK3 25</t>
  </si>
  <si>
    <t>Pellematic Condens PEK3 28</t>
  </si>
  <si>
    <t>Pellematic Condens PEK3 32</t>
  </si>
  <si>
    <t>Angaben für die Anlagen folgender 14 Hersteller:</t>
  </si>
  <si>
    <t>ETA, Fröling, Gilles*, Hargassner, HDG Bavaria, Herz, Hoval, KWB, ÖkoFEN, Paradigma, Rennergy Systems, Solarfocus, Viessmann, Windhager</t>
  </si>
  <si>
    <t>Kessel, die nicht mehr im Sortiment des jeweiligen Herstellers angeboten werden, sind gelb hinterlegt und verbleiben in der Liste für Berechnungen im Rahmen von Energieausweisen.</t>
  </si>
  <si>
    <t>ePE-BW  8</t>
  </si>
  <si>
    <t>ePE-BW  10</t>
  </si>
  <si>
    <t>ePE-BW  12</t>
  </si>
  <si>
    <t>ePE-BW  14</t>
  </si>
  <si>
    <t>ePE-BW  16</t>
  </si>
  <si>
    <t>ePE-BW  18</t>
  </si>
  <si>
    <t>ePE-BW  20</t>
  </si>
  <si>
    <t>ePE-BW  22</t>
  </si>
  <si>
    <t>T4e - 20</t>
  </si>
  <si>
    <t>T4e - 25</t>
  </si>
  <si>
    <t xml:space="preserve"> T4e - 30</t>
  </si>
  <si>
    <t>T4e - 35</t>
  </si>
  <si>
    <t xml:space="preserve"> T4e - 45</t>
  </si>
  <si>
    <t xml:space="preserve"> T4e - 50</t>
  </si>
  <si>
    <t xml:space="preserve"> T4e - 60</t>
  </si>
  <si>
    <t>T4e - 230</t>
  </si>
  <si>
    <t>T4e - 300</t>
  </si>
  <si>
    <t>T4e - 350</t>
  </si>
  <si>
    <t>PT4e - 100</t>
  </si>
  <si>
    <t>PT4e - 140</t>
  </si>
  <si>
    <t>PT4e - 150</t>
  </si>
  <si>
    <t>PT4e - 160</t>
  </si>
  <si>
    <t>PT4e - 170</t>
  </si>
  <si>
    <t>PT4e - 180</t>
  </si>
  <si>
    <t>PT4e - 230</t>
  </si>
  <si>
    <t>PT4e - 100 ESP</t>
  </si>
  <si>
    <t>PT4e - 110 ESP</t>
  </si>
  <si>
    <t>PT4e - 120 ESP</t>
  </si>
  <si>
    <t>PT4e - 140 ESP</t>
  </si>
  <si>
    <t>PT4e - 150 ESP</t>
  </si>
  <si>
    <t>PT4e - 160 ESP</t>
  </si>
  <si>
    <t>PT4e - 170 ESP</t>
  </si>
  <si>
    <t>PT4e - 180 ESP</t>
  </si>
  <si>
    <t>PT4e - 200 ESP</t>
  </si>
  <si>
    <t>PT4e - 230 ESP</t>
  </si>
  <si>
    <t>PT4e - 250 ESP</t>
  </si>
  <si>
    <t>Eco-HK 120
Holzpellets</t>
  </si>
  <si>
    <t>Nano PK 10.2</t>
  </si>
  <si>
    <t>Nano PK 10.2
Plus</t>
  </si>
  <si>
    <t>Eco-HK 20 Holzpellets eCleaner</t>
  </si>
  <si>
    <t>Eco-HK 30 Holzpellets eCleaner</t>
  </si>
  <si>
    <t>Eco-HK 35 Holzpellets eCleaner</t>
  </si>
  <si>
    <t>Eco-HK 40 Holzpellets eCleaner</t>
  </si>
  <si>
    <t>Eco-HK 50 Holzpellets eCleaner</t>
  </si>
  <si>
    <t>Eco-HK 60 Holzpellets eCleaner</t>
  </si>
  <si>
    <t>Eco-PK 70 eCleaner</t>
  </si>
  <si>
    <t>Eco-PK 90 eCleaner</t>
  </si>
  <si>
    <t>Eco-PK 100 eCleaner</t>
  </si>
  <si>
    <t>Eco-PK 110 eCleaner</t>
  </si>
  <si>
    <t>Eco-PK 120 eCleaner</t>
  </si>
  <si>
    <t>Eco-HK 70 Holzpellets eCleaner</t>
  </si>
  <si>
    <t>Eco-HK 90 Holzpellets eCleaner</t>
  </si>
  <si>
    <t>Eco-HK 100 Holzpellets eCleaner</t>
  </si>
  <si>
    <t>Eco-HK 110 Holzpellets eCleaner</t>
  </si>
  <si>
    <t>Eco-HK 120 Holzpellets eCleaner</t>
  </si>
  <si>
    <t>Eco-PK 130 eCleaner</t>
  </si>
  <si>
    <t>Eco-PK 150 eCleaner</t>
  </si>
  <si>
    <t>Eco-PK 170 eCleaner</t>
  </si>
  <si>
    <t>Eco-PK 200 eCleaner</t>
  </si>
  <si>
    <t>Eco-PK 220 eCleaner</t>
  </si>
  <si>
    <t>Eco-PK 230 eCleaner</t>
  </si>
  <si>
    <t>Eco-HK 130 Holzpellets eCleaner</t>
  </si>
  <si>
    <t>Eco-HK 150 Holzpellets eCleaner</t>
  </si>
  <si>
    <t>Eco-HK 170 Holzpellets eCleaner</t>
  </si>
  <si>
    <t>Eco-HK 200 Holzpellets eCleaner</t>
  </si>
  <si>
    <t>Eco-HK 220 Holzpellets eCleaner</t>
  </si>
  <si>
    <t>Eco-HK 230 Holzpellets eCleaner</t>
  </si>
  <si>
    <t>Combifire
CF2 18 | CF1.5 18</t>
  </si>
  <si>
    <t>Combifire
CF2 28 | CF1.5 28</t>
  </si>
  <si>
    <t>Combifire
CF2 32 | CF1.5 32</t>
  </si>
  <si>
    <t>Combifire
CF2 38 | CF1.5 38</t>
  </si>
  <si>
    <t>PELEO
18</t>
  </si>
  <si>
    <t>PELEO OPTIMA
22</t>
  </si>
  <si>
    <t>PELEO OPTIMA
25</t>
  </si>
  <si>
    <t>PELEO OPTIMA
28</t>
  </si>
  <si>
    <t>PELEO OPTIMA
32</t>
  </si>
  <si>
    <t>therminator II 22</t>
  </si>
  <si>
    <t>therminator II 30</t>
  </si>
  <si>
    <t>therminator II 40</t>
  </si>
  <si>
    <t>therminator II 49</t>
  </si>
  <si>
    <t>therminator II 60</t>
  </si>
  <si>
    <t>pelletelegance 10</t>
  </si>
  <si>
    <t>pelletelegance 15</t>
  </si>
  <si>
    <t>pelletelegance 20</t>
  </si>
  <si>
    <t>pelletelegance 24</t>
  </si>
  <si>
    <t>ecotopzero 15</t>
  </si>
  <si>
    <t>ecotopzero 20</t>
  </si>
  <si>
    <t>ecotopzero 24</t>
  </si>
  <si>
    <t>ecotop light 15</t>
  </si>
  <si>
    <t>ecotop light 20</t>
  </si>
  <si>
    <t>ecotop light 24</t>
  </si>
  <si>
    <t>MAXIMUS 150</t>
  </si>
  <si>
    <t>MAXIMUS 200</t>
  </si>
  <si>
    <t>MAXIMUS 250</t>
  </si>
  <si>
    <t>MAXIMUS 300</t>
  </si>
  <si>
    <t>BioWIN2
BWE382</t>
  </si>
  <si>
    <t>BioWIN2
BWE452</t>
  </si>
  <si>
    <t>BioWIN2
BWE502</t>
  </si>
  <si>
    <t>BioWIN2
BWE632</t>
  </si>
  <si>
    <t>PuroWIN24</t>
  </si>
  <si>
    <t>PuroWIN30</t>
  </si>
  <si>
    <t>PuroWIN40</t>
  </si>
  <si>
    <t>PuroWIN49</t>
  </si>
  <si>
    <t>PuroWIN60</t>
  </si>
  <si>
    <t>PuroWIN72</t>
  </si>
  <si>
    <t>PuroWIN75</t>
  </si>
  <si>
    <t>PuroWIN83</t>
  </si>
  <si>
    <t>PuroWIN90</t>
  </si>
  <si>
    <t>PuroWIN99</t>
  </si>
  <si>
    <t>PuroWIN100</t>
  </si>
  <si>
    <t>PuroWIN103</t>
  </si>
  <si>
    <t>PuroWIN110</t>
  </si>
  <si>
    <t>ePE 7</t>
  </si>
  <si>
    <t>ePE 9</t>
  </si>
  <si>
    <t>ePE 11</t>
  </si>
  <si>
    <t>ePE 13</t>
  </si>
  <si>
    <t>ePE 15</t>
  </si>
  <si>
    <t>ePE 18</t>
  </si>
  <si>
    <t>ePE 20</t>
  </si>
  <si>
    <t>ePE-K 25</t>
  </si>
  <si>
    <t>ePE-K 32</t>
  </si>
  <si>
    <t>ePE-K 45</t>
  </si>
  <si>
    <t>ePE-K 50</t>
  </si>
  <si>
    <t>ePE-K 60</t>
  </si>
  <si>
    <t>ePE-K 70</t>
  </si>
  <si>
    <t>ePE-K 80</t>
  </si>
  <si>
    <t>ePE-BW 28</t>
  </si>
  <si>
    <t>ePE-BW 36</t>
  </si>
  <si>
    <t>ePE 26</t>
  </si>
  <si>
    <t>ePE 32</t>
  </si>
  <si>
    <t>Stand: 19. September 2023</t>
  </si>
  <si>
    <t>ETA eTWIN 16</t>
  </si>
  <si>
    <t>Turbomat 450</t>
  </si>
  <si>
    <t>PE1e
Pellet 45 BW</t>
  </si>
  <si>
    <t>PE1e
Pellet 50 BW</t>
  </si>
  <si>
    <t>PE1e
Pellet 55 BW</t>
  </si>
  <si>
    <t>PE1e
Pellet 60 BW</t>
  </si>
  <si>
    <t>PE1e
Pellet 45</t>
  </si>
  <si>
    <t>PE1e
Pellet 50</t>
  </si>
  <si>
    <t>PE1e
Pellet 55</t>
  </si>
  <si>
    <t>PE1e
Pellet 60</t>
  </si>
  <si>
    <t>PE1e Pellet 
45 ESP BW</t>
  </si>
  <si>
    <t>PE1e Pellet 
50 ESP BW</t>
  </si>
  <si>
    <t>PE1e Pellet 
55 ESP BW</t>
  </si>
  <si>
    <t>PE1e Pellet 
60 ESP BW</t>
  </si>
  <si>
    <t>PE1e
Pellet 45 ESP</t>
  </si>
  <si>
    <t>PE1e
Pellet 50 ESP</t>
  </si>
  <si>
    <t>PE1e
Pellet 55 ESP</t>
  </si>
  <si>
    <t>PE1e
Pellet 60 ESP</t>
  </si>
  <si>
    <t>T4e 20 ESP</t>
  </si>
  <si>
    <t>T4e 25 ESP</t>
  </si>
  <si>
    <t xml:space="preserve"> T4e 30 ESP</t>
  </si>
  <si>
    <t>T4e 35 ESP</t>
  </si>
  <si>
    <t xml:space="preserve"> T4e 45 ESP</t>
  </si>
  <si>
    <t xml:space="preserve"> T4e 50 ESP</t>
  </si>
  <si>
    <t xml:space="preserve"> T4e 60 ESP</t>
  </si>
  <si>
    <t>T4e 80 ESP</t>
  </si>
  <si>
    <t>T4e 90 ESP</t>
  </si>
  <si>
    <t>T4e 100 ESP</t>
  </si>
  <si>
    <t>T4e 110 ESP</t>
  </si>
  <si>
    <t>T4e 120 ESP</t>
  </si>
  <si>
    <t>T4e 130 ESP</t>
  </si>
  <si>
    <t>T4e 140 ESP</t>
  </si>
  <si>
    <t>T4e 150 ESP</t>
  </si>
  <si>
    <t>T4e 160 ESP</t>
  </si>
  <si>
    <t>T4e 170 ESP</t>
  </si>
  <si>
    <t>T4e 180 ESP</t>
  </si>
  <si>
    <t>T4e 200 ESP</t>
  </si>
  <si>
    <t>T4e 230 ESP</t>
  </si>
  <si>
    <t>T4e 250 ESP</t>
  </si>
  <si>
    <t xml:space="preserve"> T4e 300 ESP</t>
  </si>
  <si>
    <t xml:space="preserve"> T4e 350 ESP</t>
  </si>
  <si>
    <t>Nano-PK 6
eC</t>
  </si>
  <si>
    <t>Nano-PK 6 
eC Plus</t>
  </si>
  <si>
    <t>Nano-PK 9
eC</t>
  </si>
  <si>
    <t>Nano-PK 9 
eC Plus</t>
  </si>
  <si>
    <t>Nano-PK 10
eC</t>
  </si>
  <si>
    <t>Nano-PK 10 
eC Plus</t>
  </si>
  <si>
    <t>Nano-PK 12
eC</t>
  </si>
  <si>
    <t>Nano-PK 12
eC Plus</t>
  </si>
  <si>
    <t>Nano-PK 15
eC</t>
  </si>
  <si>
    <t>Nano-PK 15
eC Plus</t>
  </si>
  <si>
    <t>HDG K38 V2</t>
  </si>
  <si>
    <t>HDG K45 V2</t>
  </si>
  <si>
    <t>HDG K50 V2</t>
  </si>
  <si>
    <t>HDG K63 V2</t>
  </si>
  <si>
    <t>HDG K10 V2 Brennwert</t>
  </si>
  <si>
    <t>HDG K15 V2 Brennwert</t>
  </si>
  <si>
    <t>HDG K21 V2 Brennwert</t>
  </si>
  <si>
    <t>HDG K26 V2 Brennwert</t>
  </si>
  <si>
    <t>HDG M175 E</t>
  </si>
  <si>
    <t>HDG M200 E</t>
  </si>
  <si>
    <t>HDG M240 E</t>
  </si>
  <si>
    <t>HDG M300 E</t>
  </si>
  <si>
    <t>HDG M350 E</t>
  </si>
  <si>
    <t>HDG M400 E</t>
  </si>
  <si>
    <t>pelletstar-H 10</t>
  </si>
  <si>
    <t>pelletstar-H 14</t>
  </si>
  <si>
    <t>pelletstar-H 18</t>
  </si>
  <si>
    <t>pelletstar-H 20</t>
  </si>
  <si>
    <t>pelletstar-H 30</t>
  </si>
  <si>
    <t>pelletstar-H 70</t>
  </si>
  <si>
    <t>pelletstar-H 80</t>
  </si>
  <si>
    <t>pelletstar-H 100</t>
  </si>
  <si>
    <t>pelletstar-H 105</t>
  </si>
  <si>
    <t>pelletstar-HE 10</t>
  </si>
  <si>
    <t>pelletstar-HE 14</t>
  </si>
  <si>
    <t>pelletstar-HE 18</t>
  </si>
  <si>
    <t>pelletstar-HE 20</t>
  </si>
  <si>
    <t>pelletstar-HE 30</t>
  </si>
  <si>
    <t>pelletstar-HE 70</t>
  </si>
  <si>
    <t>pelletstar-HE 80</t>
  </si>
  <si>
    <t>pelletstar-HE 100</t>
  </si>
  <si>
    <t>pelletstar-HE 105</t>
  </si>
  <si>
    <t>pelletstar CONDENSATION 80</t>
  </si>
  <si>
    <t>pelletstar CONDENSATION 100</t>
  </si>
  <si>
    <t>pelletstar CONDENSATION 101</t>
  </si>
  <si>
    <t>firematic-E 80</t>
  </si>
  <si>
    <t>firematic-E 100</t>
  </si>
  <si>
    <t>firematic-E 101</t>
  </si>
  <si>
    <t>firematic-E 120</t>
  </si>
  <si>
    <t>firematic-E 130</t>
  </si>
  <si>
    <t>firematic-E 149</t>
  </si>
  <si>
    <t>firematic-E 151</t>
  </si>
  <si>
    <t>firematic-E 180</t>
  </si>
  <si>
    <t>firematic-E 199</t>
  </si>
  <si>
    <t>firematic-E 201</t>
  </si>
  <si>
    <t>firematic-E 249</t>
  </si>
  <si>
    <t>firematic-E 251</t>
  </si>
  <si>
    <t>firematic-E 299</t>
  </si>
  <si>
    <t>firematic-E 301</t>
  </si>
  <si>
    <t>firematic-E 349</t>
  </si>
  <si>
    <t>firematic-E 351</t>
  </si>
  <si>
    <t>firematic-E 399</t>
  </si>
  <si>
    <t>firematic-E 401</t>
  </si>
  <si>
    <t>firematic-E 499</t>
  </si>
  <si>
    <t>firematic-E 501</t>
  </si>
  <si>
    <t>Hackgut/Pelletskessel (Werte im Pellets Betrieb)</t>
  </si>
  <si>
    <t>Peletkessel</t>
  </si>
  <si>
    <t>Easyfire 
EF2 Plus S/GS/V 12</t>
  </si>
  <si>
    <t>Easyfire
EF2 Plus S/GS/V 15</t>
  </si>
  <si>
    <t>Easyfire 
EF3 40</t>
  </si>
  <si>
    <t>Easyfire
EF3 50</t>
  </si>
  <si>
    <t>Easyfire
EF3 60</t>
  </si>
  <si>
    <t>Pellematic Compact 3.20</t>
  </si>
  <si>
    <t>Pellematic Compact 3.22</t>
  </si>
  <si>
    <t>Pellematic Compact 3.25</t>
  </si>
  <si>
    <t>Pellematic Compact 3.28</t>
  </si>
  <si>
    <t>Pellematic Compact 3.32</t>
  </si>
  <si>
    <t>Pellematic Condens 3.20</t>
  </si>
  <si>
    <t>Pellematic Compact Z10</t>
  </si>
  <si>
    <t>Pellematic Compact Z12</t>
  </si>
  <si>
    <t>Pellematic Compact Z14</t>
  </si>
  <si>
    <t>Pellematic Compact Z16</t>
  </si>
  <si>
    <t>Pellematic Compact Z18</t>
  </si>
  <si>
    <t>Pellematic Condens Z10</t>
  </si>
  <si>
    <t>Pellematic Condens Z12</t>
  </si>
  <si>
    <t>Pellematic Condens Z14</t>
  </si>
  <si>
    <t>Pellematic Condens Z16</t>
  </si>
  <si>
    <t>Pellematic Condens Z18</t>
  </si>
  <si>
    <t>Pellematic Smart XS Z10</t>
  </si>
  <si>
    <t>Pellematic Smart XS Z12</t>
  </si>
  <si>
    <t>Pellematic Smart XS Z14</t>
  </si>
  <si>
    <t>Pellematic Smart XS Z16</t>
  </si>
  <si>
    <t>Pellematic Smart XS Z18</t>
  </si>
  <si>
    <t>BioWIN Ultegra
BWU12</t>
  </si>
  <si>
    <t>BioWIN Ultegra
BWU18</t>
  </si>
  <si>
    <t>BioWIN Ultegra
BWU12e</t>
  </si>
  <si>
    <t>BioWIN Ultegra
BWU18e</t>
  </si>
  <si>
    <t>BioWIN2
BW102e</t>
  </si>
  <si>
    <t>BioWIN2
BW152e</t>
  </si>
  <si>
    <t>BioWIN2
BW212e</t>
  </si>
  <si>
    <t>BioWIN2
BW262e</t>
  </si>
  <si>
    <t>BioWIN2
BW332e</t>
  </si>
  <si>
    <t>BioWIN2
BWE382e</t>
  </si>
  <si>
    <t>BioWIN2
BWE452e</t>
  </si>
  <si>
    <t>BioWIN2
BWE502e</t>
  </si>
  <si>
    <t>BioWIN2
BWE632e</t>
  </si>
  <si>
    <r>
      <t>0,00191 x 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indexed="8"/>
        <rFont val="Calibri"/>
        <family val="2"/>
      </rPr>
      <t xml:space="preserve"> </t>
    </r>
  </si>
  <si>
    <r>
      <t>1,065 - 0,0195 x log (Q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indexed="8"/>
        <rFont val="Calibri"/>
        <family val="2"/>
      </rPr>
      <t>)</t>
    </r>
  </si>
  <si>
    <r>
      <t>0,950 -0,00444 x log (Q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indexed="8"/>
        <rFont val="Calibri"/>
        <family val="2"/>
      </rPr>
      <t>)</t>
    </r>
  </si>
  <si>
    <r>
      <t>0,922 + 0,0095 x log (Q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indexed="8"/>
        <rFont val="Calibri"/>
        <family val="2"/>
      </rPr>
      <t>)</t>
    </r>
  </si>
  <si>
    <r>
      <t>1,037 - 0,0080 x log (Q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indexed="8"/>
        <rFont val="Calibri"/>
        <family val="2"/>
      </rPr>
      <t>)</t>
    </r>
  </si>
  <si>
    <r>
      <t>0,0204 - 0,00520 x log (Q</t>
    </r>
    <r>
      <rPr>
        <vertAlign val="subscript"/>
        <sz val="11"/>
        <color indexed="8"/>
        <rFont val="Calibri"/>
        <family val="2"/>
      </rPr>
      <t>N,max</t>
    </r>
    <r>
      <rPr>
        <sz val="11"/>
        <color theme="1"/>
        <rFont val="Calibri"/>
        <family val="2"/>
        <scheme val="minor"/>
      </rPr>
      <t>)</t>
    </r>
  </si>
  <si>
    <r>
      <t xml:space="preserve"> 0,0284 + 0,000570 x Q</t>
    </r>
    <r>
      <rPr>
        <vertAlign val="subscript"/>
        <sz val="11"/>
        <color theme="1"/>
        <rFont val="Calibri"/>
        <family val="2"/>
        <scheme val="minor"/>
      </rPr>
      <t>N,max</t>
    </r>
  </si>
  <si>
    <r>
      <t>0,00771 + 0,0000502 x Q</t>
    </r>
    <r>
      <rPr>
        <vertAlign val="subscript"/>
        <sz val="11"/>
        <color indexed="8"/>
        <rFont val="Calibri"/>
        <family val="2"/>
      </rPr>
      <t>N,max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</si>
</sst>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0.0"/>
    <numFmt numFmtId="167" formatCode="0.0000"/>
    <numFmt numFmtId="168" formatCode="0\ \k\W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vertAlign val="subscript"/>
      <sz val="10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vertAlign val="superscript"/>
      <sz val="10"/>
      <color indexed="8"/>
      <name val="Calibri"/>
      <family val="2"/>
    </font>
    <font>
      <vertAlign val="subscript"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11"/>
      <color indexed="8"/>
      <name val="Calibri"/>
      <family val="2"/>
    </font>
    <font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4" borderId="0" applyNumberFormat="0" applyBorder="0" applyAlignment="0" applyProtection="0"/>
    <xf numFmtId="9" fontId="1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7" fillId="0" borderId="0"/>
    <xf numFmtId="0" fontId="3" fillId="0" borderId="0"/>
    <xf numFmtId="0" fontId="2" fillId="0" borderId="0"/>
    <xf numFmtId="0" fontId="3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0">
    <xf numFmtId="0" fontId="0" fillId="0" borderId="0" xfId="0"/>
    <xf numFmtId="0" fontId="25" fillId="0" borderId="0" xfId="0" applyFont="1"/>
    <xf numFmtId="0" fontId="26" fillId="0" borderId="0" xfId="0" applyFont="1"/>
    <xf numFmtId="2" fontId="27" fillId="6" borderId="1" xfId="0" applyNumberFormat="1" applyFont="1" applyFill="1" applyBorder="1" applyAlignment="1">
      <alignment horizontal="center" vertical="center" wrapText="1"/>
    </xf>
    <xf numFmtId="2" fontId="27" fillId="6" borderId="2" xfId="0" applyNumberFormat="1" applyFont="1" applyFill="1" applyBorder="1" applyAlignment="1">
      <alignment horizontal="center" vertical="center" wrapText="1"/>
    </xf>
    <xf numFmtId="2" fontId="27" fillId="6" borderId="3" xfId="0" applyNumberFormat="1" applyFont="1" applyFill="1" applyBorder="1" applyAlignment="1">
      <alignment horizontal="center" vertical="center" wrapText="1"/>
    </xf>
    <xf numFmtId="166" fontId="27" fillId="6" borderId="3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7" fillId="0" borderId="4" xfId="51" applyFont="1" applyBorder="1" applyAlignment="1">
      <alignment horizontal="center" vertical="center"/>
    </xf>
    <xf numFmtId="0" fontId="27" fillId="0" borderId="5" xfId="51" applyFont="1" applyBorder="1" applyAlignment="1">
      <alignment horizontal="center" vertical="center"/>
    </xf>
    <xf numFmtId="0" fontId="27" fillId="0" borderId="6" xfId="5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 vertical="center" wrapText="1"/>
    </xf>
    <xf numFmtId="165" fontId="27" fillId="0" borderId="6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 wrapText="1"/>
    </xf>
    <xf numFmtId="165" fontId="27" fillId="0" borderId="16" xfId="0" applyNumberFormat="1" applyFont="1" applyBorder="1" applyAlignment="1">
      <alignment horizontal="center" vertical="center" wrapText="1"/>
    </xf>
    <xf numFmtId="1" fontId="28" fillId="0" borderId="17" xfId="0" applyNumberFormat="1" applyFont="1" applyBorder="1" applyAlignment="1">
      <alignment horizontal="center" vertical="center" wrapText="1"/>
    </xf>
    <xf numFmtId="1" fontId="28" fillId="0" borderId="18" xfId="0" applyNumberFormat="1" applyFont="1" applyBorder="1" applyAlignment="1">
      <alignment horizontal="center" vertical="center" wrapText="1"/>
    </xf>
    <xf numFmtId="1" fontId="28" fillId="0" borderId="19" xfId="0" applyNumberFormat="1" applyFont="1" applyBorder="1" applyAlignment="1">
      <alignment horizontal="center" vertical="center" wrapText="1"/>
    </xf>
    <xf numFmtId="166" fontId="27" fillId="0" borderId="17" xfId="0" applyNumberFormat="1" applyFont="1" applyBorder="1" applyAlignment="1">
      <alignment horizontal="center" vertical="center" wrapText="1"/>
    </xf>
    <xf numFmtId="166" fontId="27" fillId="0" borderId="18" xfId="0" applyNumberFormat="1" applyFont="1" applyBorder="1" applyAlignment="1">
      <alignment horizontal="center" vertical="center" wrapText="1"/>
    </xf>
    <xf numFmtId="0" fontId="29" fillId="0" borderId="15" xfId="51" applyFont="1" applyBorder="1" applyAlignment="1">
      <alignment horizontal="right" vertical="center" wrapText="1"/>
    </xf>
    <xf numFmtId="0" fontId="30" fillId="0" borderId="0" xfId="0" applyFont="1"/>
    <xf numFmtId="0" fontId="31" fillId="0" borderId="0" xfId="0" applyFont="1"/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66" fontId="27" fillId="0" borderId="19" xfId="0" applyNumberFormat="1" applyFont="1" applyBorder="1" applyAlignment="1">
      <alignment horizontal="center" vertical="center" wrapText="1"/>
    </xf>
    <xf numFmtId="166" fontId="27" fillId="0" borderId="4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8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29" fillId="0" borderId="24" xfId="50" applyFont="1" applyBorder="1" applyAlignment="1">
      <alignment horizontal="center" vertical="center"/>
    </xf>
    <xf numFmtId="0" fontId="29" fillId="0" borderId="25" xfId="50" applyFont="1" applyBorder="1" applyAlignment="1">
      <alignment vertical="center"/>
    </xf>
    <xf numFmtId="0" fontId="29" fillId="0" borderId="26" xfId="50" applyFont="1" applyBorder="1" applyAlignment="1">
      <alignment horizontal="center"/>
    </xf>
    <xf numFmtId="0" fontId="33" fillId="0" borderId="3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9" fillId="0" borderId="27" xfId="50" applyFont="1" applyBorder="1" applyAlignment="1">
      <alignment horizontal="center" vertical="center"/>
    </xf>
    <xf numFmtId="0" fontId="8" fillId="0" borderId="0" xfId="0" applyFont="1"/>
    <xf numFmtId="0" fontId="34" fillId="0" borderId="0" xfId="0" applyFont="1"/>
    <xf numFmtId="0" fontId="34" fillId="0" borderId="0" xfId="0" applyFont="1" applyAlignment="1">
      <alignment vertical="top" wrapText="1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6" fillId="7" borderId="12" xfId="50" applyFont="1" applyFill="1" applyBorder="1" applyAlignment="1">
      <alignment vertical="center"/>
    </xf>
    <xf numFmtId="0" fontId="36" fillId="7" borderId="28" xfId="50" applyFont="1" applyFill="1" applyBorder="1" applyAlignment="1">
      <alignment vertical="center"/>
    </xf>
    <xf numFmtId="0" fontId="36" fillId="7" borderId="29" xfId="50" applyFont="1" applyFill="1" applyBorder="1" applyAlignment="1">
      <alignment vertical="center"/>
    </xf>
    <xf numFmtId="0" fontId="29" fillId="0" borderId="26" xfId="50" applyFon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27" fillId="6" borderId="3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2" fontId="27" fillId="0" borderId="5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8" fillId="0" borderId="2" xfId="0" applyNumberFormat="1" applyFont="1" applyBorder="1" applyAlignment="1">
      <alignment horizontal="center" vertical="center"/>
    </xf>
    <xf numFmtId="165" fontId="28" fillId="0" borderId="5" xfId="0" applyNumberFormat="1" applyFont="1" applyBorder="1" applyAlignment="1">
      <alignment horizontal="center" vertical="center"/>
    </xf>
    <xf numFmtId="165" fontId="27" fillId="6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9" fillId="3" borderId="33" xfId="35" applyBorder="1"/>
    <xf numFmtId="0" fontId="19" fillId="3" borderId="34" xfId="35" applyBorder="1"/>
    <xf numFmtId="0" fontId="19" fillId="3" borderId="35" xfId="35" applyBorder="1"/>
    <xf numFmtId="166" fontId="0" fillId="0" borderId="5" xfId="0" applyNumberFormat="1" applyBorder="1" applyAlignment="1">
      <alignment horizontal="center" vertical="center"/>
    </xf>
    <xf numFmtId="166" fontId="29" fillId="0" borderId="3" xfId="51" applyNumberFormat="1" applyFont="1" applyBorder="1" applyAlignment="1">
      <alignment horizontal="center" vertical="center"/>
    </xf>
    <xf numFmtId="165" fontId="29" fillId="0" borderId="3" xfId="51" applyNumberFormat="1" applyFont="1" applyBorder="1" applyAlignment="1">
      <alignment horizontal="center" vertical="center"/>
    </xf>
    <xf numFmtId="2" fontId="29" fillId="0" borderId="3" xfId="51" applyNumberFormat="1" applyFont="1" applyBorder="1" applyAlignment="1">
      <alignment horizontal="center" vertical="center"/>
    </xf>
    <xf numFmtId="166" fontId="29" fillId="0" borderId="17" xfId="51" applyNumberFormat="1" applyFont="1" applyBorder="1" applyAlignment="1">
      <alignment horizontal="center" vertical="center"/>
    </xf>
    <xf numFmtId="166" fontId="29" fillId="0" borderId="18" xfId="51" applyNumberFormat="1" applyFont="1" applyBorder="1" applyAlignment="1">
      <alignment horizontal="center" vertical="center"/>
    </xf>
    <xf numFmtId="165" fontId="29" fillId="0" borderId="1" xfId="51" applyNumberFormat="1" applyFont="1" applyBorder="1" applyAlignment="1">
      <alignment horizontal="center" vertical="center"/>
    </xf>
    <xf numFmtId="2" fontId="29" fillId="0" borderId="1" xfId="51" applyNumberFormat="1" applyFont="1" applyBorder="1" applyAlignment="1">
      <alignment horizontal="center" vertical="center"/>
    </xf>
    <xf numFmtId="166" fontId="29" fillId="0" borderId="1" xfId="51" applyNumberFormat="1" applyFont="1" applyBorder="1" applyAlignment="1">
      <alignment horizontal="center" vertical="center"/>
    </xf>
    <xf numFmtId="165" fontId="29" fillId="0" borderId="8" xfId="51" applyNumberFormat="1" applyFont="1" applyBorder="1" applyAlignment="1">
      <alignment horizontal="center" vertical="center"/>
    </xf>
    <xf numFmtId="165" fontId="29" fillId="0" borderId="7" xfId="51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165" fontId="27" fillId="0" borderId="36" xfId="0" applyNumberFormat="1" applyFont="1" applyBorder="1" applyAlignment="1">
      <alignment horizontal="center" vertical="center" wrapText="1"/>
    </xf>
    <xf numFmtId="165" fontId="27" fillId="0" borderId="37" xfId="0" applyNumberFormat="1" applyFont="1" applyBorder="1" applyAlignment="1">
      <alignment horizontal="center" vertical="center" wrapText="1"/>
    </xf>
    <xf numFmtId="0" fontId="29" fillId="0" borderId="9" xfId="50" applyFont="1" applyBorder="1" applyAlignment="1">
      <alignment horizontal="center" vertical="center"/>
    </xf>
    <xf numFmtId="0" fontId="29" fillId="0" borderId="10" xfId="50" applyFont="1" applyBorder="1" applyAlignment="1">
      <alignment horizontal="center" vertical="center"/>
    </xf>
    <xf numFmtId="0" fontId="29" fillId="0" borderId="11" xfId="50" applyFont="1" applyBorder="1" applyAlignment="1">
      <alignment horizontal="center" vertical="center"/>
    </xf>
    <xf numFmtId="165" fontId="38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36" fillId="7" borderId="38" xfId="51" applyFont="1" applyFill="1" applyBorder="1" applyAlignment="1">
      <alignment vertical="center"/>
    </xf>
    <xf numFmtId="0" fontId="36" fillId="7" borderId="39" xfId="51" applyFont="1" applyFill="1" applyBorder="1" applyAlignment="1">
      <alignment vertical="center"/>
    </xf>
    <xf numFmtId="0" fontId="29" fillId="0" borderId="15" xfId="53" applyFont="1" applyBorder="1" applyAlignment="1">
      <alignment horizontal="right" vertical="center" wrapText="1"/>
    </xf>
    <xf numFmtId="0" fontId="29" fillId="0" borderId="40" xfId="50" applyFont="1" applyBorder="1" applyAlignment="1">
      <alignment horizontal="center" vertical="center"/>
    </xf>
    <xf numFmtId="0" fontId="27" fillId="0" borderId="4" xfId="53" applyFont="1" applyBorder="1" applyAlignment="1">
      <alignment horizontal="center" vertical="center"/>
    </xf>
    <xf numFmtId="0" fontId="27" fillId="0" borderId="5" xfId="53" applyFont="1" applyBorder="1" applyAlignment="1">
      <alignment horizontal="center" vertical="center"/>
    </xf>
    <xf numFmtId="0" fontId="27" fillId="0" borderId="6" xfId="53" applyFont="1" applyBorder="1" applyAlignment="1">
      <alignment horizontal="center" vertical="center"/>
    </xf>
    <xf numFmtId="0" fontId="29" fillId="0" borderId="9" xfId="5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2" fontId="27" fillId="0" borderId="41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2" fontId="27" fillId="0" borderId="17" xfId="0" applyNumberFormat="1" applyFont="1" applyBorder="1" applyAlignment="1">
      <alignment horizontal="center" vertical="center" wrapText="1"/>
    </xf>
    <xf numFmtId="165" fontId="27" fillId="0" borderId="42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 wrapText="1"/>
    </xf>
    <xf numFmtId="2" fontId="27" fillId="0" borderId="4" xfId="0" applyNumberFormat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2" fontId="27" fillId="0" borderId="18" xfId="0" applyNumberFormat="1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166" fontId="27" fillId="0" borderId="3" xfId="0" applyNumberFormat="1" applyFont="1" applyBorder="1" applyAlignment="1">
      <alignment horizontal="center" vertical="center" wrapText="1"/>
    </xf>
    <xf numFmtId="166" fontId="27" fillId="0" borderId="45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 wrapText="1"/>
    </xf>
    <xf numFmtId="165" fontId="27" fillId="0" borderId="3" xfId="0" applyNumberFormat="1" applyFont="1" applyBorder="1" applyAlignment="1">
      <alignment horizontal="center" vertical="center" wrapText="1"/>
    </xf>
    <xf numFmtId="165" fontId="27" fillId="0" borderId="42" xfId="0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166" fontId="27" fillId="0" borderId="42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5" fontId="27" fillId="0" borderId="2" xfId="0" applyNumberFormat="1" applyFont="1" applyBorder="1" applyAlignment="1">
      <alignment horizontal="center" vertical="center" wrapText="1"/>
    </xf>
    <xf numFmtId="166" fontId="27" fillId="0" borderId="2" xfId="0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65" fontId="0" fillId="6" borderId="18" xfId="0" applyNumberFormat="1" applyFill="1" applyBorder="1" applyAlignment="1">
      <alignment horizontal="center" vertical="center"/>
    </xf>
    <xf numFmtId="165" fontId="0" fillId="6" borderId="4" xfId="0" applyNumberFormat="1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165" fontId="17" fillId="6" borderId="3" xfId="35" applyNumberFormat="1" applyFont="1" applyFill="1" applyBorder="1" applyAlignment="1">
      <alignment horizontal="center" vertical="center"/>
    </xf>
    <xf numFmtId="165" fontId="17" fillId="6" borderId="18" xfId="35" applyNumberFormat="1" applyFont="1" applyFill="1" applyBorder="1" applyAlignment="1">
      <alignment horizontal="center" vertical="center"/>
    </xf>
    <xf numFmtId="165" fontId="17" fillId="6" borderId="4" xfId="35" applyNumberFormat="1" applyFont="1" applyFill="1" applyBorder="1" applyAlignment="1">
      <alignment horizontal="center" vertical="center"/>
    </xf>
    <xf numFmtId="165" fontId="17" fillId="6" borderId="5" xfId="35" applyNumberFormat="1" applyFont="1" applyFill="1" applyBorder="1" applyAlignment="1">
      <alignment horizontal="center" vertical="center"/>
    </xf>
    <xf numFmtId="0" fontId="29" fillId="0" borderId="10" xfId="50" applyFont="1" applyBorder="1" applyAlignment="1">
      <alignment horizontal="left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2" fontId="27" fillId="0" borderId="1" xfId="53" applyNumberFormat="1" applyFont="1" applyBorder="1" applyAlignment="1">
      <alignment horizontal="center" vertical="center"/>
    </xf>
    <xf numFmtId="2" fontId="27" fillId="0" borderId="3" xfId="53" applyNumberFormat="1" applyFont="1" applyBorder="1" applyAlignment="1">
      <alignment horizontal="center" vertical="center"/>
    </xf>
    <xf numFmtId="0" fontId="39" fillId="7" borderId="51" xfId="50" applyFont="1" applyFill="1" applyBorder="1" applyAlignment="1">
      <alignment vertical="center"/>
    </xf>
    <xf numFmtId="0" fontId="39" fillId="7" borderId="39" xfId="50" applyFont="1" applyFill="1" applyBorder="1" applyAlignment="1">
      <alignment vertical="center"/>
    </xf>
    <xf numFmtId="0" fontId="39" fillId="7" borderId="15" xfId="50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6" fontId="14" fillId="0" borderId="17" xfId="0" applyNumberFormat="1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6" fontId="28" fillId="0" borderId="19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center" vertical="center" wrapText="1"/>
    </xf>
    <xf numFmtId="166" fontId="10" fillId="2" borderId="19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6" fontId="10" fillId="2" borderId="1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5" xfId="0" applyNumberFormat="1" applyFont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Border="1" applyAlignment="1">
      <alignment horizontal="center" vertical="center" wrapText="1"/>
    </xf>
    <xf numFmtId="0" fontId="29" fillId="6" borderId="39" xfId="0" applyFont="1" applyFill="1" applyBorder="1" applyAlignment="1">
      <alignment horizontal="center" vertical="center" wrapText="1"/>
    </xf>
    <xf numFmtId="166" fontId="10" fillId="2" borderId="52" xfId="0" applyNumberFormat="1" applyFont="1" applyFill="1" applyBorder="1" applyAlignment="1">
      <alignment horizontal="center" vertical="center" wrapText="1"/>
    </xf>
    <xf numFmtId="165" fontId="10" fillId="0" borderId="53" xfId="0" applyNumberFormat="1" applyFont="1" applyBorder="1" applyAlignment="1">
      <alignment horizontal="center" vertical="center" wrapText="1"/>
    </xf>
    <xf numFmtId="2" fontId="6" fillId="0" borderId="53" xfId="0" applyNumberFormat="1" applyFont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 wrapText="1"/>
    </xf>
    <xf numFmtId="166" fontId="10" fillId="2" borderId="53" xfId="0" applyNumberFormat="1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165" fontId="27" fillId="0" borderId="54" xfId="0" applyNumberFormat="1" applyFont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10" fillId="2" borderId="16" xfId="0" applyNumberFormat="1" applyFont="1" applyFill="1" applyBorder="1" applyAlignment="1">
      <alignment horizontal="center" vertical="center" wrapText="1"/>
    </xf>
    <xf numFmtId="165" fontId="10" fillId="2" borderId="55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Border="1" applyAlignment="1">
      <alignment horizontal="center" vertical="center"/>
    </xf>
    <xf numFmtId="165" fontId="27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0" borderId="16" xfId="0" applyFont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1" fontId="28" fillId="0" borderId="4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165" fontId="28" fillId="0" borderId="2" xfId="0" applyNumberFormat="1" applyFont="1" applyBorder="1" applyAlignment="1">
      <alignment horizontal="center" vertical="center" wrapText="1"/>
    </xf>
    <xf numFmtId="2" fontId="27" fillId="0" borderId="2" xfId="0" applyNumberFormat="1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165" fontId="28" fillId="0" borderId="6" xfId="0" applyNumberFormat="1" applyFont="1" applyBorder="1" applyAlignment="1">
      <alignment horizontal="center" vertical="center" wrapText="1"/>
    </xf>
    <xf numFmtId="165" fontId="28" fillId="0" borderId="7" xfId="0" applyNumberFormat="1" applyFont="1" applyBorder="1" applyAlignment="1">
      <alignment horizontal="center" vertical="center" wrapText="1"/>
    </xf>
    <xf numFmtId="165" fontId="28" fillId="0" borderId="8" xfId="0" applyNumberFormat="1" applyFont="1" applyBorder="1" applyAlignment="1">
      <alignment horizontal="center" vertical="center" wrapText="1"/>
    </xf>
    <xf numFmtId="165" fontId="27" fillId="0" borderId="45" xfId="0" applyNumberFormat="1" applyFont="1" applyBorder="1" applyAlignment="1">
      <alignment horizontal="center" vertical="center"/>
    </xf>
    <xf numFmtId="0" fontId="29" fillId="0" borderId="15" xfId="53" applyFont="1" applyBorder="1" applyAlignment="1">
      <alignment horizontal="right" vertical="center"/>
    </xf>
    <xf numFmtId="0" fontId="29" fillId="0" borderId="15" xfId="5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2" fontId="40" fillId="0" borderId="58" xfId="0" applyNumberFormat="1" applyFont="1" applyBorder="1" applyAlignment="1">
      <alignment horizontal="center" vertical="center" wrapText="1"/>
    </xf>
    <xf numFmtId="2" fontId="40" fillId="0" borderId="14" xfId="0" applyNumberFormat="1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166" fontId="40" fillId="0" borderId="14" xfId="0" applyNumberFormat="1" applyFont="1" applyBorder="1" applyAlignment="1">
      <alignment horizontal="center" vertical="center" wrapText="1"/>
    </xf>
    <xf numFmtId="165" fontId="40" fillId="0" borderId="14" xfId="0" applyNumberFormat="1" applyFont="1" applyBorder="1" applyAlignment="1">
      <alignment horizontal="center" vertical="center" wrapText="1"/>
    </xf>
    <xf numFmtId="165" fontId="40" fillId="0" borderId="14" xfId="0" applyNumberFormat="1" applyFont="1" applyBorder="1" applyAlignment="1">
      <alignment horizontal="center" vertical="center"/>
    </xf>
    <xf numFmtId="165" fontId="40" fillId="0" borderId="54" xfId="0" applyNumberFormat="1" applyFont="1" applyBorder="1" applyAlignment="1">
      <alignment horizontal="center" vertical="center" wrapText="1"/>
    </xf>
    <xf numFmtId="165" fontId="38" fillId="0" borderId="5" xfId="0" applyNumberFormat="1" applyFont="1" applyBorder="1" applyAlignment="1">
      <alignment horizontal="center" vertical="center" wrapText="1"/>
    </xf>
    <xf numFmtId="166" fontId="27" fillId="0" borderId="3" xfId="53" applyNumberFormat="1" applyFont="1" applyBorder="1" applyAlignment="1">
      <alignment horizontal="center" vertical="center"/>
    </xf>
    <xf numFmtId="166" fontId="27" fillId="0" borderId="17" xfId="53" applyNumberFormat="1" applyFont="1" applyBorder="1" applyAlignment="1">
      <alignment horizontal="center" vertical="center"/>
    </xf>
    <xf numFmtId="166" fontId="27" fillId="0" borderId="18" xfId="53" applyNumberFormat="1" applyFont="1" applyBorder="1" applyAlignment="1">
      <alignment horizontal="center" vertical="center"/>
    </xf>
    <xf numFmtId="166" fontId="27" fillId="0" borderId="4" xfId="53" applyNumberFormat="1" applyFont="1" applyBorder="1" applyAlignment="1">
      <alignment horizontal="center" vertical="center"/>
    </xf>
    <xf numFmtId="166" fontId="27" fillId="0" borderId="1" xfId="53" applyNumberFormat="1" applyFont="1" applyBorder="1" applyAlignment="1">
      <alignment horizontal="center" vertical="center"/>
    </xf>
    <xf numFmtId="165" fontId="28" fillId="6" borderId="7" xfId="0" applyNumberFormat="1" applyFont="1" applyFill="1" applyBorder="1" applyAlignment="1">
      <alignment horizontal="center" vertical="center" wrapText="1"/>
    </xf>
    <xf numFmtId="165" fontId="28" fillId="6" borderId="6" xfId="0" applyNumberFormat="1" applyFont="1" applyFill="1" applyBorder="1" applyAlignment="1">
      <alignment horizontal="center" vertical="center" wrapText="1"/>
    </xf>
    <xf numFmtId="165" fontId="28" fillId="6" borderId="3" xfId="0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8" fillId="6" borderId="59" xfId="0" applyFont="1" applyFill="1" applyBorder="1" applyAlignment="1">
      <alignment horizontal="center" vertical="center" wrapText="1"/>
    </xf>
    <xf numFmtId="0" fontId="28" fillId="6" borderId="60" xfId="0" applyFont="1" applyFill="1" applyBorder="1" applyAlignment="1">
      <alignment horizontal="center" vertical="center" wrapText="1"/>
    </xf>
    <xf numFmtId="2" fontId="27" fillId="6" borderId="5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2" fontId="28" fillId="0" borderId="5" xfId="0" applyNumberFormat="1" applyFont="1" applyBorder="1" applyAlignment="1">
      <alignment horizontal="center" vertical="center"/>
    </xf>
    <xf numFmtId="166" fontId="28" fillId="0" borderId="18" xfId="0" applyNumberFormat="1" applyFont="1" applyBorder="1" applyAlignment="1">
      <alignment horizontal="center" vertical="center"/>
    </xf>
    <xf numFmtId="166" fontId="28" fillId="0" borderId="17" xfId="0" applyNumberFormat="1" applyFont="1" applyBorder="1" applyAlignment="1">
      <alignment horizontal="center" vertical="center"/>
    </xf>
    <xf numFmtId="166" fontId="28" fillId="0" borderId="4" xfId="0" applyNumberFormat="1" applyFont="1" applyBorder="1" applyAlignment="1">
      <alignment horizontal="center" vertical="center"/>
    </xf>
    <xf numFmtId="166" fontId="27" fillId="6" borderId="1" xfId="53" applyNumberFormat="1" applyFont="1" applyFill="1" applyBorder="1" applyAlignment="1">
      <alignment horizontal="center" vertical="center"/>
    </xf>
    <xf numFmtId="166" fontId="27" fillId="6" borderId="3" xfId="53" applyNumberFormat="1" applyFont="1" applyFill="1" applyBorder="1" applyAlignment="1">
      <alignment horizontal="center" vertical="center"/>
    </xf>
    <xf numFmtId="166" fontId="27" fillId="6" borderId="5" xfId="53" applyNumberFormat="1" applyFont="1" applyFill="1" applyBorder="1" applyAlignment="1">
      <alignment horizontal="center" vertical="center"/>
    </xf>
    <xf numFmtId="165" fontId="27" fillId="6" borderId="1" xfId="53" applyNumberFormat="1" applyFont="1" applyFill="1" applyBorder="1" applyAlignment="1">
      <alignment horizontal="center" vertical="center"/>
    </xf>
    <xf numFmtId="165" fontId="27" fillId="6" borderId="3" xfId="53" applyNumberFormat="1" applyFont="1" applyFill="1" applyBorder="1" applyAlignment="1">
      <alignment horizontal="center" vertical="center"/>
    </xf>
    <xf numFmtId="165" fontId="27" fillId="0" borderId="5" xfId="53" applyNumberFormat="1" applyFont="1" applyBorder="1" applyAlignment="1">
      <alignment horizontal="center" vertical="center"/>
    </xf>
    <xf numFmtId="165" fontId="27" fillId="0" borderId="6" xfId="53" applyNumberFormat="1" applyFont="1" applyBorder="1" applyAlignment="1">
      <alignment horizontal="center" vertical="center"/>
    </xf>
    <xf numFmtId="165" fontId="27" fillId="0" borderId="8" xfId="53" applyNumberFormat="1" applyFont="1" applyBorder="1" applyAlignment="1">
      <alignment horizontal="center" vertical="center"/>
    </xf>
    <xf numFmtId="165" fontId="27" fillId="0" borderId="7" xfId="53" applyNumberFormat="1" applyFont="1" applyBorder="1" applyAlignment="1">
      <alignment horizontal="center" vertical="center"/>
    </xf>
    <xf numFmtId="165" fontId="27" fillId="0" borderId="1" xfId="53" applyNumberFormat="1" applyFont="1" applyBorder="1" applyAlignment="1">
      <alignment horizontal="center" vertical="center"/>
    </xf>
    <xf numFmtId="165" fontId="27" fillId="0" borderId="3" xfId="53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165" fontId="27" fillId="6" borderId="2" xfId="0" applyNumberFormat="1" applyFont="1" applyFill="1" applyBorder="1" applyAlignment="1">
      <alignment horizontal="center" vertical="center" wrapText="1"/>
    </xf>
    <xf numFmtId="166" fontId="28" fillId="0" borderId="5" xfId="0" applyNumberFormat="1" applyFont="1" applyBorder="1" applyAlignment="1">
      <alignment horizontal="center" vertical="center" wrapText="1"/>
    </xf>
    <xf numFmtId="166" fontId="28" fillId="0" borderId="2" xfId="0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2" fontId="28" fillId="0" borderId="3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166" fontId="28" fillId="0" borderId="3" xfId="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36" fillId="7" borderId="38" xfId="5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9" fillId="9" borderId="25" xfId="50" applyFont="1" applyFill="1" applyBorder="1" applyAlignment="1">
      <alignment vertical="center"/>
    </xf>
    <xf numFmtId="0" fontId="29" fillId="9" borderId="26" xfId="50" applyFont="1" applyFill="1" applyBorder="1" applyAlignment="1">
      <alignment horizontal="center" vertical="center"/>
    </xf>
    <xf numFmtId="0" fontId="29" fillId="9" borderId="27" xfId="50" applyFont="1" applyFill="1" applyBorder="1" applyAlignment="1">
      <alignment horizontal="center" vertical="center"/>
    </xf>
    <xf numFmtId="0" fontId="42" fillId="8" borderId="17" xfId="0" applyFont="1" applyFill="1" applyBorder="1" applyAlignment="1">
      <alignment vertical="center" wrapText="1"/>
    </xf>
    <xf numFmtId="0" fontId="42" fillId="8" borderId="1" xfId="0" applyFont="1" applyFill="1" applyBorder="1" applyAlignment="1">
      <alignment vertical="center" wrapText="1"/>
    </xf>
    <xf numFmtId="0" fontId="42" fillId="8" borderId="8" xfId="0" applyFont="1" applyFill="1" applyBorder="1" applyAlignment="1">
      <alignment vertical="center" wrapText="1"/>
    </xf>
    <xf numFmtId="0" fontId="29" fillId="9" borderId="24" xfId="5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 wrapText="1"/>
    </xf>
    <xf numFmtId="0" fontId="29" fillId="9" borderId="27" xfId="0" applyFont="1" applyFill="1" applyBorder="1" applyAlignment="1">
      <alignment horizontal="center" vertical="center" wrapText="1"/>
    </xf>
    <xf numFmtId="0" fontId="29" fillId="9" borderId="51" xfId="50" applyFont="1" applyFill="1" applyBorder="1" applyAlignment="1">
      <alignment horizontal="center" wrapText="1"/>
    </xf>
    <xf numFmtId="0" fontId="29" fillId="9" borderId="15" xfId="50" applyFont="1" applyFill="1" applyBorder="1" applyAlignment="1">
      <alignment horizontal="center" vertical="center" wrapText="1"/>
    </xf>
    <xf numFmtId="0" fontId="29" fillId="9" borderId="28" xfId="50" applyFont="1" applyFill="1" applyBorder="1" applyAlignment="1">
      <alignment vertical="center"/>
    </xf>
    <xf numFmtId="0" fontId="42" fillId="8" borderId="58" xfId="0" applyFont="1" applyFill="1" applyBorder="1" applyAlignment="1">
      <alignment vertical="center" wrapText="1"/>
    </xf>
    <xf numFmtId="0" fontId="42" fillId="8" borderId="14" xfId="0" applyFont="1" applyFill="1" applyBorder="1" applyAlignment="1">
      <alignment vertical="center" wrapText="1"/>
    </xf>
    <xf numFmtId="0" fontId="42" fillId="8" borderId="54" xfId="0" applyFont="1" applyFill="1" applyBorder="1" applyAlignment="1">
      <alignment vertical="center" wrapText="1"/>
    </xf>
    <xf numFmtId="0" fontId="29" fillId="9" borderId="25" xfId="5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7" fillId="0" borderId="17" xfId="50" applyFont="1" applyBorder="1" applyAlignment="1">
      <alignment horizontal="center" vertical="center" wrapText="1"/>
    </xf>
    <xf numFmtId="0" fontId="27" fillId="0" borderId="8" xfId="50" applyFont="1" applyBorder="1" applyAlignment="1">
      <alignment horizontal="center" vertical="center" wrapText="1"/>
    </xf>
    <xf numFmtId="0" fontId="29" fillId="9" borderId="11" xfId="5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17" fontId="28" fillId="0" borderId="0" xfId="0" applyNumberFormat="1" applyFont="1"/>
    <xf numFmtId="0" fontId="41" fillId="9" borderId="9" xfId="0" applyFont="1" applyFill="1" applyBorder="1" applyAlignment="1">
      <alignment horizontal="center" vertical="center"/>
    </xf>
    <xf numFmtId="0" fontId="41" fillId="9" borderId="11" xfId="0" applyFont="1" applyFill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41" fillId="9" borderId="10" xfId="0" applyFont="1" applyFill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41" fillId="9" borderId="9" xfId="0" applyFont="1" applyFill="1" applyBorder="1" applyAlignment="1">
      <alignment horizontal="center"/>
    </xf>
    <xf numFmtId="0" fontId="41" fillId="9" borderId="10" xfId="0" applyFont="1" applyFill="1" applyBorder="1" applyAlignment="1">
      <alignment horizontal="center"/>
    </xf>
    <xf numFmtId="0" fontId="41" fillId="9" borderId="11" xfId="0" applyFont="1" applyFill="1" applyBorder="1" applyAlignment="1">
      <alignment horizontal="center"/>
    </xf>
    <xf numFmtId="0" fontId="28" fillId="0" borderId="60" xfId="0" applyFont="1" applyBorder="1"/>
    <xf numFmtId="0" fontId="28" fillId="0" borderId="59" xfId="0" applyFont="1" applyBorder="1"/>
    <xf numFmtId="0" fontId="28" fillId="0" borderId="36" xfId="0" applyFont="1" applyBorder="1"/>
    <xf numFmtId="0" fontId="28" fillId="0" borderId="7" xfId="0" applyFont="1" applyBorder="1"/>
    <xf numFmtId="0" fontId="41" fillId="0" borderId="1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39" fillId="7" borderId="51" xfId="50" applyFont="1" applyFill="1" applyBorder="1" applyAlignment="1">
      <alignment horizontal="center" vertical="center"/>
    </xf>
    <xf numFmtId="0" fontId="36" fillId="7" borderId="15" xfId="51" applyFont="1" applyFill="1" applyBorder="1" applyAlignment="1">
      <alignment horizontal="center" vertical="center"/>
    </xf>
    <xf numFmtId="166" fontId="29" fillId="0" borderId="4" xfId="51" applyNumberFormat="1" applyFont="1" applyBorder="1" applyAlignment="1">
      <alignment horizontal="center" vertical="center"/>
    </xf>
    <xf numFmtId="165" fontId="29" fillId="0" borderId="5" xfId="51" applyNumberFormat="1" applyFont="1" applyBorder="1" applyAlignment="1">
      <alignment horizontal="center" vertical="center"/>
    </xf>
    <xf numFmtId="2" fontId="29" fillId="0" borderId="5" xfId="51" applyNumberFormat="1" applyFont="1" applyBorder="1" applyAlignment="1">
      <alignment horizontal="center" vertical="center"/>
    </xf>
    <xf numFmtId="166" fontId="29" fillId="0" borderId="5" xfId="51" applyNumberFormat="1" applyFont="1" applyBorder="1" applyAlignment="1">
      <alignment horizontal="center" vertical="center"/>
    </xf>
    <xf numFmtId="165" fontId="29" fillId="0" borderId="6" xfId="51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 wrapText="1"/>
    </xf>
    <xf numFmtId="165" fontId="27" fillId="0" borderId="42" xfId="53" applyNumberFormat="1" applyFont="1" applyBorder="1" applyAlignment="1">
      <alignment horizontal="center" vertical="center"/>
    </xf>
    <xf numFmtId="166" fontId="27" fillId="0" borderId="41" xfId="53" applyNumberFormat="1" applyFont="1" applyBorder="1" applyAlignment="1">
      <alignment horizontal="center" vertical="center"/>
    </xf>
    <xf numFmtId="165" fontId="27" fillId="0" borderId="36" xfId="53" applyNumberFormat="1" applyFont="1" applyBorder="1" applyAlignment="1">
      <alignment horizontal="center" vertical="center"/>
    </xf>
    <xf numFmtId="166" fontId="27" fillId="0" borderId="52" xfId="53" applyNumberFormat="1" applyFont="1" applyBorder="1" applyAlignment="1">
      <alignment horizontal="center" vertical="center"/>
    </xf>
    <xf numFmtId="2" fontId="28" fillId="6" borderId="53" xfId="53" applyNumberFormat="1" applyFont="1" applyFill="1" applyBorder="1" applyAlignment="1">
      <alignment horizontal="center" vertical="center"/>
    </xf>
    <xf numFmtId="165" fontId="27" fillId="0" borderId="53" xfId="53" applyNumberFormat="1" applyFont="1" applyBorder="1" applyAlignment="1">
      <alignment horizontal="center" vertical="center"/>
    </xf>
    <xf numFmtId="165" fontId="27" fillId="0" borderId="55" xfId="53" applyNumberFormat="1" applyFont="1" applyBorder="1" applyAlignment="1">
      <alignment horizontal="center" vertical="center"/>
    </xf>
    <xf numFmtId="165" fontId="28" fillId="6" borderId="55" xfId="53" applyNumberFormat="1" applyFont="1" applyFill="1" applyBorder="1" applyAlignment="1">
      <alignment horizontal="center" vertical="center"/>
    </xf>
    <xf numFmtId="2" fontId="44" fillId="6" borderId="3" xfId="53" applyNumberFormat="1" applyFont="1" applyFill="1" applyBorder="1" applyAlignment="1">
      <alignment horizontal="center" vertical="center"/>
    </xf>
    <xf numFmtId="166" fontId="27" fillId="6" borderId="53" xfId="53" applyNumberFormat="1" applyFont="1" applyFill="1" applyBorder="1" applyAlignment="1">
      <alignment horizontal="center" vertical="center"/>
    </xf>
    <xf numFmtId="166" fontId="44" fillId="6" borderId="3" xfId="53" applyNumberFormat="1" applyFont="1" applyFill="1" applyBorder="1" applyAlignment="1">
      <alignment horizontal="center" vertical="center"/>
    </xf>
    <xf numFmtId="0" fontId="41" fillId="0" borderId="57" xfId="53" applyFont="1" applyBorder="1" applyAlignment="1">
      <alignment horizontal="center" vertical="center" wrapText="1"/>
    </xf>
    <xf numFmtId="165" fontId="28" fillId="6" borderId="36" xfId="53" applyNumberFormat="1" applyFont="1" applyFill="1" applyBorder="1" applyAlignment="1">
      <alignment horizontal="center" vertical="center"/>
    </xf>
    <xf numFmtId="0" fontId="41" fillId="0" borderId="43" xfId="53" applyFont="1" applyBorder="1" applyAlignment="1">
      <alignment horizontal="center" vertical="center" wrapText="1"/>
    </xf>
    <xf numFmtId="0" fontId="41" fillId="0" borderId="26" xfId="53" applyFont="1" applyBorder="1" applyAlignment="1">
      <alignment horizontal="center" vertical="center" wrapText="1"/>
    </xf>
    <xf numFmtId="0" fontId="41" fillId="0" borderId="25" xfId="53" applyFont="1" applyBorder="1" applyAlignment="1">
      <alignment horizontal="center" vertical="center" wrapText="1"/>
    </xf>
    <xf numFmtId="166" fontId="28" fillId="6" borderId="19" xfId="53" applyNumberFormat="1" applyFont="1" applyFill="1" applyBorder="1" applyAlignment="1">
      <alignment horizontal="center" vertical="center"/>
    </xf>
    <xf numFmtId="0" fontId="41" fillId="0" borderId="11" xfId="53" applyFont="1" applyBorder="1" applyAlignment="1">
      <alignment horizontal="center" vertical="center" wrapText="1"/>
    </xf>
    <xf numFmtId="165" fontId="28" fillId="6" borderId="42" xfId="53" applyNumberFormat="1" applyFont="1" applyFill="1" applyBorder="1" applyAlignment="1">
      <alignment horizontal="center" vertical="center"/>
    </xf>
    <xf numFmtId="0" fontId="41" fillId="0" borderId="9" xfId="53" applyFont="1" applyBorder="1" applyAlignment="1">
      <alignment horizontal="center" vertical="center" wrapText="1"/>
    </xf>
    <xf numFmtId="0" fontId="41" fillId="0" borderId="10" xfId="53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66" xfId="53" applyFont="1" applyBorder="1" applyAlignment="1">
      <alignment horizontal="center" vertical="center" wrapText="1"/>
    </xf>
    <xf numFmtId="0" fontId="41" fillId="0" borderId="22" xfId="53" applyFont="1" applyBorder="1" applyAlignment="1">
      <alignment horizontal="center" vertical="center" wrapText="1"/>
    </xf>
    <xf numFmtId="0" fontId="41" fillId="0" borderId="23" xfId="53" applyFont="1" applyBorder="1" applyAlignment="1">
      <alignment horizontal="center" vertical="center" wrapText="1"/>
    </xf>
    <xf numFmtId="0" fontId="41" fillId="0" borderId="15" xfId="53" applyFont="1" applyBorder="1" applyAlignment="1">
      <alignment horizontal="center" vertical="center" wrapText="1"/>
    </xf>
    <xf numFmtId="0" fontId="41" fillId="0" borderId="67" xfId="53" applyFont="1" applyBorder="1" applyAlignment="1">
      <alignment horizontal="center" vertical="center" wrapText="1"/>
    </xf>
    <xf numFmtId="165" fontId="28" fillId="6" borderId="42" xfId="0" applyNumberFormat="1" applyFont="1" applyFill="1" applyBorder="1" applyAlignment="1">
      <alignment horizontal="center" vertical="center"/>
    </xf>
    <xf numFmtId="166" fontId="28" fillId="6" borderId="41" xfId="53" applyNumberFormat="1" applyFont="1" applyFill="1" applyBorder="1" applyAlignment="1">
      <alignment horizontal="center" vertical="center"/>
    </xf>
    <xf numFmtId="2" fontId="28" fillId="6" borderId="42" xfId="53" applyNumberFormat="1" applyFont="1" applyFill="1" applyBorder="1" applyAlignment="1">
      <alignment horizontal="center" vertical="center"/>
    </xf>
    <xf numFmtId="165" fontId="28" fillId="6" borderId="3" xfId="0" applyNumberFormat="1" applyFont="1" applyFill="1" applyBorder="1" applyAlignment="1">
      <alignment horizontal="center" vertical="center" wrapText="1"/>
    </xf>
    <xf numFmtId="166" fontId="28" fillId="6" borderId="17" xfId="53" applyNumberFormat="1" applyFont="1" applyFill="1" applyBorder="1" applyAlignment="1">
      <alignment horizontal="center" vertical="center"/>
    </xf>
    <xf numFmtId="166" fontId="28" fillId="6" borderId="18" xfId="53" applyNumberFormat="1" applyFont="1" applyFill="1" applyBorder="1" applyAlignment="1">
      <alignment horizontal="center" vertical="center"/>
    </xf>
    <xf numFmtId="165" fontId="28" fillId="6" borderId="42" xfId="0" applyNumberFormat="1" applyFont="1" applyFill="1" applyBorder="1" applyAlignment="1">
      <alignment horizontal="center" vertical="center" wrapText="1"/>
    </xf>
    <xf numFmtId="166" fontId="28" fillId="6" borderId="42" xfId="53" applyNumberFormat="1" applyFont="1" applyFill="1" applyBorder="1" applyAlignment="1">
      <alignment horizontal="center" vertical="center"/>
    </xf>
    <xf numFmtId="165" fontId="28" fillId="6" borderId="53" xfId="53" applyNumberFormat="1" applyFont="1" applyFill="1" applyBorder="1" applyAlignment="1">
      <alignment horizontal="center" vertical="center"/>
    </xf>
    <xf numFmtId="166" fontId="28" fillId="6" borderId="4" xfId="53" applyNumberFormat="1" applyFont="1" applyFill="1" applyBorder="1" applyAlignment="1">
      <alignment horizontal="center" vertical="center"/>
    </xf>
    <xf numFmtId="166" fontId="28" fillId="6" borderId="53" xfId="53" applyNumberFormat="1" applyFont="1" applyFill="1" applyBorder="1" applyAlignment="1">
      <alignment horizontal="center" vertical="center"/>
    </xf>
    <xf numFmtId="1" fontId="28" fillId="6" borderId="17" xfId="53" applyNumberFormat="1" applyFont="1" applyFill="1" applyBorder="1" applyAlignment="1">
      <alignment horizontal="center" vertical="center"/>
    </xf>
    <xf numFmtId="1" fontId="28" fillId="6" borderId="18" xfId="53" applyNumberFormat="1" applyFont="1" applyFill="1" applyBorder="1" applyAlignment="1">
      <alignment horizontal="center" vertical="center"/>
    </xf>
    <xf numFmtId="1" fontId="28" fillId="6" borderId="4" xfId="53" applyNumberFormat="1" applyFont="1" applyFill="1" applyBorder="1" applyAlignment="1">
      <alignment horizontal="center" vertical="center"/>
    </xf>
    <xf numFmtId="1" fontId="28" fillId="6" borderId="52" xfId="53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/>
    </xf>
    <xf numFmtId="166" fontId="28" fillId="0" borderId="3" xfId="0" applyNumberFormat="1" applyFont="1" applyBorder="1" applyAlignment="1">
      <alignment horizontal="center"/>
    </xf>
    <xf numFmtId="166" fontId="28" fillId="0" borderId="5" xfId="0" applyNumberFormat="1" applyFont="1" applyBorder="1" applyAlignment="1">
      <alignment horizontal="center"/>
    </xf>
    <xf numFmtId="166" fontId="28" fillId="0" borderId="42" xfId="0" applyNumberFormat="1" applyFont="1" applyBorder="1" applyAlignment="1">
      <alignment horizontal="center"/>
    </xf>
    <xf numFmtId="166" fontId="28" fillId="0" borderId="2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5" fontId="28" fillId="0" borderId="3" xfId="0" applyNumberFormat="1" applyFont="1" applyBorder="1" applyAlignment="1">
      <alignment horizontal="center"/>
    </xf>
    <xf numFmtId="165" fontId="28" fillId="0" borderId="5" xfId="0" applyNumberFormat="1" applyFont="1" applyBorder="1" applyAlignment="1">
      <alignment horizontal="center"/>
    </xf>
    <xf numFmtId="165" fontId="28" fillId="0" borderId="42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2" fontId="28" fillId="0" borderId="42" xfId="0" applyNumberFormat="1" applyFont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165" fontId="28" fillId="0" borderId="8" xfId="0" applyNumberFormat="1" applyFont="1" applyBorder="1" applyAlignment="1">
      <alignment horizontal="center"/>
    </xf>
    <xf numFmtId="165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 applyAlignment="1">
      <alignment horizontal="center"/>
    </xf>
    <xf numFmtId="165" fontId="28" fillId="0" borderId="36" xfId="0" applyNumberFormat="1" applyFont="1" applyBorder="1" applyAlignment="1">
      <alignment horizontal="center"/>
    </xf>
    <xf numFmtId="165" fontId="28" fillId="0" borderId="16" xfId="0" applyNumberFormat="1" applyFont="1" applyBorder="1" applyAlignment="1">
      <alignment horizontal="center"/>
    </xf>
    <xf numFmtId="165" fontId="28" fillId="6" borderId="7" xfId="53" applyNumberFormat="1" applyFont="1" applyFill="1" applyBorder="1" applyAlignment="1">
      <alignment horizontal="center" vertical="center"/>
    </xf>
    <xf numFmtId="165" fontId="28" fillId="6" borderId="16" xfId="53" applyNumberFormat="1" applyFont="1" applyFill="1" applyBorder="1" applyAlignment="1">
      <alignment horizontal="center" vertical="center"/>
    </xf>
    <xf numFmtId="165" fontId="28" fillId="6" borderId="8" xfId="53" applyNumberFormat="1" applyFont="1" applyFill="1" applyBorder="1" applyAlignment="1">
      <alignment horizontal="center" vertical="center"/>
    </xf>
    <xf numFmtId="165" fontId="28" fillId="6" borderId="6" xfId="53" applyNumberFormat="1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/>
    </xf>
    <xf numFmtId="166" fontId="28" fillId="6" borderId="3" xfId="53" applyNumberFormat="1" applyFont="1" applyFill="1" applyBorder="1" applyAlignment="1">
      <alignment horizontal="center" vertical="center"/>
    </xf>
    <xf numFmtId="2" fontId="28" fillId="6" borderId="3" xfId="53" applyNumberFormat="1" applyFont="1" applyFill="1" applyBorder="1" applyAlignment="1">
      <alignment horizontal="center" vertical="center"/>
    </xf>
    <xf numFmtId="2" fontId="28" fillId="6" borderId="5" xfId="53" applyNumberFormat="1" applyFont="1" applyFill="1" applyBorder="1" applyAlignment="1">
      <alignment horizontal="center" vertical="center"/>
    </xf>
    <xf numFmtId="166" fontId="28" fillId="6" borderId="5" xfId="53" applyNumberFormat="1" applyFont="1" applyFill="1" applyBorder="1" applyAlignment="1">
      <alignment horizontal="center" vertical="center"/>
    </xf>
    <xf numFmtId="2" fontId="28" fillId="6" borderId="1" xfId="53" applyNumberFormat="1" applyFont="1" applyFill="1" applyBorder="1" applyAlignment="1">
      <alignment horizontal="center" vertical="center"/>
    </xf>
    <xf numFmtId="166" fontId="28" fillId="6" borderId="1" xfId="53" applyNumberFormat="1" applyFont="1" applyFill="1" applyBorder="1" applyAlignment="1">
      <alignment horizontal="center" vertical="center"/>
    </xf>
    <xf numFmtId="166" fontId="28" fillId="6" borderId="2" xfId="53" applyNumberFormat="1" applyFont="1" applyFill="1" applyBorder="1" applyAlignment="1">
      <alignment horizontal="center" vertical="center"/>
    </xf>
    <xf numFmtId="2" fontId="28" fillId="6" borderId="2" xfId="53" applyNumberFormat="1" applyFont="1" applyFill="1" applyBorder="1" applyAlignment="1">
      <alignment horizontal="center" vertical="center"/>
    </xf>
    <xf numFmtId="165" fontId="28" fillId="6" borderId="3" xfId="53" applyNumberFormat="1" applyFont="1" applyFill="1" applyBorder="1" applyAlignment="1">
      <alignment horizontal="center" vertical="center"/>
    </xf>
    <xf numFmtId="165" fontId="28" fillId="6" borderId="5" xfId="53" applyNumberFormat="1" applyFont="1" applyFill="1" applyBorder="1" applyAlignment="1">
      <alignment horizontal="center" vertical="center"/>
    </xf>
    <xf numFmtId="165" fontId="28" fillId="6" borderId="2" xfId="53" applyNumberFormat="1" applyFont="1" applyFill="1" applyBorder="1" applyAlignment="1">
      <alignment horizontal="center" vertical="center"/>
    </xf>
    <xf numFmtId="165" fontId="28" fillId="6" borderId="1" xfId="53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/>
    <xf numFmtId="0" fontId="28" fillId="6" borderId="17" xfId="0" applyFont="1" applyFill="1" applyBorder="1" applyAlignment="1">
      <alignment horizontal="center"/>
    </xf>
    <xf numFmtId="0" fontId="28" fillId="6" borderId="18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2" fontId="28" fillId="6" borderId="1" xfId="0" applyNumberFormat="1" applyFont="1" applyFill="1" applyBorder="1" applyAlignment="1">
      <alignment horizontal="center" vertical="center"/>
    </xf>
    <xf numFmtId="2" fontId="28" fillId="6" borderId="3" xfId="0" applyNumberFormat="1" applyFont="1" applyFill="1" applyBorder="1" applyAlignment="1">
      <alignment horizontal="center" vertical="center"/>
    </xf>
    <xf numFmtId="166" fontId="28" fillId="6" borderId="1" xfId="0" applyNumberFormat="1" applyFont="1" applyFill="1" applyBorder="1" applyAlignment="1">
      <alignment horizontal="center" vertical="center"/>
    </xf>
    <xf numFmtId="166" fontId="28" fillId="6" borderId="3" xfId="0" applyNumberFormat="1" applyFont="1" applyFill="1" applyBorder="1" applyAlignment="1">
      <alignment horizontal="center" vertical="center"/>
    </xf>
    <xf numFmtId="166" fontId="28" fillId="6" borderId="5" xfId="0" applyNumberFormat="1" applyFont="1" applyFill="1" applyBorder="1" applyAlignment="1">
      <alignment horizontal="center" vertical="center"/>
    </xf>
    <xf numFmtId="167" fontId="27" fillId="0" borderId="3" xfId="0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/>
    </xf>
    <xf numFmtId="2" fontId="27" fillId="6" borderId="1" xfId="0" applyNumberFormat="1" applyFont="1" applyFill="1" applyBorder="1" applyAlignment="1">
      <alignment horizontal="center" vertical="center"/>
    </xf>
    <xf numFmtId="2" fontId="27" fillId="6" borderId="3" xfId="0" applyNumberFormat="1" applyFont="1" applyFill="1" applyBorder="1" applyAlignment="1">
      <alignment horizontal="center" vertical="center"/>
    </xf>
    <xf numFmtId="166" fontId="27" fillId="6" borderId="1" xfId="0" applyNumberFormat="1" applyFont="1" applyFill="1" applyBorder="1" applyAlignment="1">
      <alignment horizontal="center" vertical="center" wrapText="1"/>
    </xf>
    <xf numFmtId="165" fontId="27" fillId="6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5" fontId="27" fillId="6" borderId="3" xfId="0" applyNumberFormat="1" applyFont="1" applyFill="1" applyBorder="1" applyAlignment="1">
      <alignment horizontal="center" vertical="center"/>
    </xf>
    <xf numFmtId="165" fontId="27" fillId="6" borderId="8" xfId="0" applyNumberFormat="1" applyFont="1" applyFill="1" applyBorder="1" applyAlignment="1">
      <alignment horizontal="center" vertical="center" wrapText="1"/>
    </xf>
    <xf numFmtId="165" fontId="27" fillId="6" borderId="7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6" borderId="3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6" borderId="7" xfId="0" applyFont="1" applyFill="1" applyBorder="1" applyAlignment="1">
      <alignment horizontal="center"/>
    </xf>
    <xf numFmtId="0" fontId="28" fillId="6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165" fontId="45" fillId="0" borderId="0" xfId="0" applyNumberFormat="1" applyFont="1" applyAlignment="1">
      <alignment horizontal="center" vertical="center" wrapText="1"/>
    </xf>
    <xf numFmtId="0" fontId="36" fillId="7" borderId="15" xfId="0" applyFont="1" applyFill="1" applyBorder="1" applyAlignment="1">
      <alignment horizontal="center" wrapText="1"/>
    </xf>
    <xf numFmtId="165" fontId="27" fillId="0" borderId="32" xfId="0" applyNumberFormat="1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1" fontId="28" fillId="0" borderId="61" xfId="0" applyNumberFormat="1" applyFont="1" applyBorder="1" applyAlignment="1">
      <alignment horizontal="center" vertical="center" wrapText="1"/>
    </xf>
    <xf numFmtId="1" fontId="28" fillId="0" borderId="72" xfId="0" applyNumberFormat="1" applyFont="1" applyBorder="1" applyAlignment="1">
      <alignment horizontal="center" vertical="center" wrapText="1"/>
    </xf>
    <xf numFmtId="1" fontId="28" fillId="0" borderId="59" xfId="0" applyNumberFormat="1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168" fontId="29" fillId="0" borderId="11" xfId="0" applyNumberFormat="1" applyFont="1" applyBorder="1" applyAlignment="1">
      <alignment horizontal="center" vertical="center" wrapText="1"/>
    </xf>
    <xf numFmtId="168" fontId="29" fillId="0" borderId="10" xfId="0" applyNumberFormat="1" applyFont="1" applyBorder="1" applyAlignment="1">
      <alignment horizontal="center" vertical="center" wrapText="1"/>
    </xf>
    <xf numFmtId="168" fontId="29" fillId="0" borderId="9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41" fillId="0" borderId="13" xfId="53" applyFont="1" applyBorder="1" applyAlignment="1">
      <alignment horizontal="center" vertical="center" wrapText="1"/>
    </xf>
    <xf numFmtId="0" fontId="41" fillId="0" borderId="63" xfId="53" applyFont="1" applyBorder="1" applyAlignment="1">
      <alignment horizontal="center" vertical="center" wrapText="1"/>
    </xf>
    <xf numFmtId="1" fontId="28" fillId="6" borderId="30" xfId="53" applyNumberFormat="1" applyFont="1" applyFill="1" applyBorder="1" applyAlignment="1">
      <alignment horizontal="center" vertical="center"/>
    </xf>
    <xf numFmtId="165" fontId="28" fillId="6" borderId="31" xfId="53" applyNumberFormat="1" applyFont="1" applyFill="1" applyBorder="1" applyAlignment="1">
      <alignment horizontal="center" vertical="center"/>
    </xf>
    <xf numFmtId="2" fontId="28" fillId="6" borderId="31" xfId="0" applyNumberFormat="1" applyFont="1" applyFill="1" applyBorder="1" applyAlignment="1">
      <alignment horizontal="center" vertical="center"/>
    </xf>
    <xf numFmtId="166" fontId="28" fillId="6" borderId="45" xfId="0" applyNumberFormat="1" applyFont="1" applyFill="1" applyBorder="1" applyAlignment="1">
      <alignment horizontal="center" vertical="center"/>
    </xf>
    <xf numFmtId="165" fontId="28" fillId="6" borderId="32" xfId="53" applyNumberFormat="1" applyFont="1" applyFill="1" applyBorder="1" applyAlignment="1">
      <alignment horizontal="center" vertical="center"/>
    </xf>
    <xf numFmtId="2" fontId="28" fillId="6" borderId="5" xfId="0" applyNumberFormat="1" applyFont="1" applyFill="1" applyBorder="1" applyAlignment="1">
      <alignment horizontal="center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29" fillId="9" borderId="73" xfId="0" applyFont="1" applyFill="1" applyBorder="1" applyAlignment="1">
      <alignment horizontal="center" vertical="center" wrapText="1"/>
    </xf>
    <xf numFmtId="166" fontId="0" fillId="0" borderId="41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 wrapText="1"/>
    </xf>
    <xf numFmtId="165" fontId="0" fillId="6" borderId="41" xfId="0" applyNumberFormat="1" applyFill="1" applyBorder="1" applyAlignment="1">
      <alignment horizontal="center" vertical="center"/>
    </xf>
    <xf numFmtId="165" fontId="0" fillId="6" borderId="42" xfId="0" applyNumberFormat="1" applyFill="1" applyBorder="1" applyAlignment="1">
      <alignment horizontal="center" vertical="center"/>
    </xf>
    <xf numFmtId="165" fontId="17" fillId="6" borderId="41" xfId="35" applyNumberFormat="1" applyFont="1" applyFill="1" applyBorder="1" applyAlignment="1">
      <alignment horizontal="center" vertical="center"/>
    </xf>
    <xf numFmtId="165" fontId="17" fillId="6" borderId="42" xfId="35" applyNumberFormat="1" applyFont="1" applyFill="1" applyBorder="1" applyAlignment="1">
      <alignment horizontal="center" vertical="center"/>
    </xf>
    <xf numFmtId="166" fontId="28" fillId="0" borderId="59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66" fontId="28" fillId="0" borderId="61" xfId="0" applyNumberFormat="1" applyFont="1" applyBorder="1" applyAlignment="1">
      <alignment horizontal="center" vertical="center"/>
    </xf>
    <xf numFmtId="166" fontId="28" fillId="0" borderId="60" xfId="0" applyNumberFormat="1" applyFont="1" applyBorder="1" applyAlignment="1">
      <alignment horizontal="center" vertical="center"/>
    </xf>
    <xf numFmtId="166" fontId="28" fillId="0" borderId="72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8" fillId="0" borderId="41" xfId="0" applyNumberFormat="1" applyFont="1" applyBorder="1" applyAlignment="1">
      <alignment horizontal="center" vertical="center"/>
    </xf>
    <xf numFmtId="0" fontId="28" fillId="0" borderId="4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31" xfId="0" applyNumberFormat="1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165" fontId="28" fillId="0" borderId="42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165" fontId="28" fillId="0" borderId="16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165" fontId="28" fillId="0" borderId="8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166" fontId="28" fillId="0" borderId="64" xfId="0" applyNumberFormat="1" applyFont="1" applyBorder="1" applyAlignment="1">
      <alignment horizontal="center" vertical="center"/>
    </xf>
    <xf numFmtId="166" fontId="28" fillId="0" borderId="74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vertical="center"/>
    </xf>
    <xf numFmtId="2" fontId="28" fillId="0" borderId="45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165" fontId="28" fillId="0" borderId="45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6" fontId="27" fillId="0" borderId="41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 wrapText="1"/>
    </xf>
    <xf numFmtId="166" fontId="27" fillId="0" borderId="60" xfId="0" applyNumberFormat="1" applyFont="1" applyBorder="1" applyAlignment="1">
      <alignment horizontal="center" vertical="center" wrapText="1"/>
    </xf>
    <xf numFmtId="166" fontId="27" fillId="0" borderId="41" xfId="0" applyNumberFormat="1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9" fillId="0" borderId="13" xfId="50" applyFont="1" applyBorder="1" applyAlignment="1">
      <alignment horizontal="center" vertical="center"/>
    </xf>
    <xf numFmtId="166" fontId="29" fillId="0" borderId="41" xfId="51" applyNumberFormat="1" applyFont="1" applyBorder="1" applyAlignment="1">
      <alignment horizontal="center" vertical="center"/>
    </xf>
    <xf numFmtId="165" fontId="29" fillId="0" borderId="42" xfId="51" applyNumberFormat="1" applyFont="1" applyBorder="1" applyAlignment="1">
      <alignment horizontal="center" vertical="center"/>
    </xf>
    <xf numFmtId="2" fontId="29" fillId="0" borderId="42" xfId="51" applyNumberFormat="1" applyFont="1" applyBorder="1" applyAlignment="1">
      <alignment horizontal="center" vertical="center"/>
    </xf>
    <xf numFmtId="166" fontId="29" fillId="0" borderId="42" xfId="51" applyNumberFormat="1" applyFont="1" applyBorder="1" applyAlignment="1">
      <alignment horizontal="center" vertical="center"/>
    </xf>
    <xf numFmtId="165" fontId="29" fillId="0" borderId="36" xfId="51" applyNumberFormat="1" applyFont="1" applyBorder="1" applyAlignment="1">
      <alignment horizontal="center" vertical="center"/>
    </xf>
    <xf numFmtId="0" fontId="29" fillId="0" borderId="13" xfId="50" applyFont="1" applyBorder="1" applyAlignment="1">
      <alignment horizontal="center" vertical="center" wrapText="1"/>
    </xf>
    <xf numFmtId="0" fontId="29" fillId="6" borderId="13" xfId="50" applyFont="1" applyFill="1" applyBorder="1" applyAlignment="1">
      <alignment horizontal="center" vertical="center" wrapText="1"/>
    </xf>
    <xf numFmtId="0" fontId="29" fillId="6" borderId="39" xfId="50" applyFont="1" applyFill="1" applyBorder="1" applyAlignment="1">
      <alignment horizontal="center" vertical="center" wrapText="1"/>
    </xf>
    <xf numFmtId="0" fontId="29" fillId="6" borderId="9" xfId="50" applyFont="1" applyFill="1" applyBorder="1" applyAlignment="1">
      <alignment horizontal="center" vertical="center" wrapText="1"/>
    </xf>
    <xf numFmtId="0" fontId="29" fillId="6" borderId="12" xfId="50" applyFont="1" applyFill="1" applyBorder="1" applyAlignment="1">
      <alignment horizontal="center" vertical="center" wrapText="1"/>
    </xf>
    <xf numFmtId="0" fontId="41" fillId="6" borderId="9" xfId="0" applyFont="1" applyFill="1" applyBorder="1" applyAlignment="1">
      <alignment horizontal="center" vertical="center" wrapText="1"/>
    </xf>
    <xf numFmtId="0" fontId="41" fillId="6" borderId="10" xfId="0" applyFont="1" applyFill="1" applyBorder="1" applyAlignment="1">
      <alignment horizontal="center" vertical="center" wrapText="1"/>
    </xf>
    <xf numFmtId="0" fontId="41" fillId="6" borderId="11" xfId="0" applyFont="1" applyFill="1" applyBorder="1" applyAlignment="1">
      <alignment horizontal="center" vertical="center" wrapText="1"/>
    </xf>
    <xf numFmtId="0" fontId="41" fillId="6" borderId="67" xfId="0" applyFont="1" applyFill="1" applyBorder="1" applyAlignment="1">
      <alignment horizontal="center" vertical="center" wrapText="1"/>
    </xf>
    <xf numFmtId="0" fontId="41" fillId="6" borderId="22" xfId="0" applyFont="1" applyFill="1" applyBorder="1" applyAlignment="1">
      <alignment horizontal="center" vertical="center" wrapText="1"/>
    </xf>
    <xf numFmtId="0" fontId="41" fillId="6" borderId="23" xfId="0" applyFont="1" applyFill="1" applyBorder="1" applyAlignment="1">
      <alignment horizontal="center" vertical="center" wrapText="1"/>
    </xf>
    <xf numFmtId="0" fontId="29" fillId="6" borderId="26" xfId="50" applyFont="1" applyFill="1" applyBorder="1" applyAlignment="1">
      <alignment horizontal="center" vertical="center" wrapText="1"/>
    </xf>
    <xf numFmtId="0" fontId="29" fillId="6" borderId="27" xfId="50" applyFont="1" applyFill="1" applyBorder="1" applyAlignment="1">
      <alignment horizontal="center" vertical="center" wrapText="1"/>
    </xf>
    <xf numFmtId="0" fontId="29" fillId="6" borderId="63" xfId="50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7" fillId="0" borderId="49" xfId="51" applyFont="1" applyBorder="1" applyAlignment="1">
      <alignment horizontal="center" vertical="center"/>
    </xf>
    <xf numFmtId="0" fontId="42" fillId="8" borderId="50" xfId="0" applyFont="1" applyFill="1" applyBorder="1" applyAlignment="1">
      <alignment vertical="center" wrapText="1"/>
    </xf>
    <xf numFmtId="0" fontId="33" fillId="0" borderId="48" xfId="0" applyFont="1" applyBorder="1" applyAlignment="1">
      <alignment horizontal="center" vertical="center" wrapText="1"/>
    </xf>
    <xf numFmtId="0" fontId="42" fillId="8" borderId="8" xfId="0" applyFont="1" applyFill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166" fontId="27" fillId="0" borderId="61" xfId="0" applyNumberFormat="1" applyFont="1" applyBorder="1" applyAlignment="1">
      <alignment horizontal="center" vertical="center" wrapText="1"/>
    </xf>
    <xf numFmtId="2" fontId="17" fillId="3" borderId="52" xfId="35" applyNumberFormat="1" applyFont="1" applyBorder="1" applyAlignment="1">
      <alignment horizontal="center" vertical="center"/>
    </xf>
    <xf numFmtId="166" fontId="17" fillId="3" borderId="53" xfId="35" applyNumberFormat="1" applyFont="1" applyBorder="1" applyAlignment="1">
      <alignment horizontal="center" vertical="center"/>
    </xf>
    <xf numFmtId="166" fontId="17" fillId="6" borderId="52" xfId="48" applyNumberFormat="1" applyFont="1" applyFill="1" applyBorder="1" applyAlignment="1">
      <alignment horizontal="center" vertical="center"/>
    </xf>
    <xf numFmtId="165" fontId="37" fillId="6" borderId="70" xfId="35" applyNumberFormat="1" applyFont="1" applyFill="1" applyBorder="1" applyAlignment="1">
      <alignment horizontal="center" vertical="center"/>
    </xf>
    <xf numFmtId="165" fontId="17" fillId="3" borderId="52" xfId="35" applyNumberFormat="1" applyFont="1" applyBorder="1" applyAlignment="1">
      <alignment horizontal="center" vertical="center"/>
    </xf>
    <xf numFmtId="165" fontId="17" fillId="3" borderId="55" xfId="35" applyNumberFormat="1" applyFont="1" applyBorder="1" applyAlignment="1">
      <alignment horizontal="center" vertical="center"/>
    </xf>
    <xf numFmtId="165" fontId="17" fillId="6" borderId="52" xfId="48" applyNumberFormat="1" applyFont="1" applyFill="1" applyBorder="1" applyAlignment="1">
      <alignment horizontal="center" vertical="center"/>
    </xf>
    <xf numFmtId="165" fontId="17" fillId="6" borderId="53" xfId="48" applyNumberFormat="1" applyFont="1" applyFill="1" applyBorder="1" applyAlignment="1">
      <alignment horizontal="center" vertical="center"/>
    </xf>
    <xf numFmtId="166" fontId="17" fillId="3" borderId="70" xfId="35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7" fillId="0" borderId="0" xfId="51" applyFont="1" applyAlignment="1">
      <alignment horizontal="center" vertical="center"/>
    </xf>
    <xf numFmtId="165" fontId="29" fillId="0" borderId="0" xfId="51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/>
    </xf>
    <xf numFmtId="165" fontId="27" fillId="6" borderId="0" xfId="0" applyNumberFormat="1" applyFont="1" applyFill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166" fontId="27" fillId="0" borderId="59" xfId="0" applyNumberFormat="1" applyFont="1" applyBorder="1" applyAlignment="1">
      <alignment horizontal="center" vertical="center" wrapText="1"/>
    </xf>
    <xf numFmtId="166" fontId="27" fillId="0" borderId="64" xfId="0" applyNumberFormat="1" applyFont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/>
    </xf>
    <xf numFmtId="2" fontId="28" fillId="6" borderId="42" xfId="0" applyNumberFormat="1" applyFont="1" applyFill="1" applyBorder="1" applyAlignment="1">
      <alignment horizontal="center" vertical="center"/>
    </xf>
    <xf numFmtId="166" fontId="28" fillId="6" borderId="42" xfId="0" applyNumberFormat="1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29" fillId="0" borderId="38" xfId="50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29" fillId="0" borderId="19" xfId="51" applyNumberFormat="1" applyFont="1" applyBorder="1" applyAlignment="1">
      <alignment horizontal="center" vertical="center"/>
    </xf>
    <xf numFmtId="165" fontId="29" fillId="0" borderId="2" xfId="51" applyNumberFormat="1" applyFont="1" applyBorder="1" applyAlignment="1">
      <alignment horizontal="center" vertical="center"/>
    </xf>
    <xf numFmtId="2" fontId="29" fillId="0" borderId="2" xfId="51" applyNumberFormat="1" applyFont="1" applyBorder="1" applyAlignment="1">
      <alignment horizontal="center" vertical="center"/>
    </xf>
    <xf numFmtId="166" fontId="29" fillId="0" borderId="2" xfId="51" applyNumberFormat="1" applyFont="1" applyBorder="1" applyAlignment="1">
      <alignment horizontal="center" vertical="center"/>
    </xf>
    <xf numFmtId="165" fontId="29" fillId="0" borderId="16" xfId="51" applyNumberFormat="1" applyFont="1" applyBorder="1" applyAlignment="1">
      <alignment horizontal="center" vertical="center"/>
    </xf>
    <xf numFmtId="166" fontId="28" fillId="0" borderId="61" xfId="0" applyNumberFormat="1" applyFont="1" applyBorder="1" applyAlignment="1">
      <alignment horizontal="center"/>
    </xf>
    <xf numFmtId="166" fontId="28" fillId="0" borderId="60" xfId="0" applyNumberFormat="1" applyFont="1" applyBorder="1" applyAlignment="1">
      <alignment horizontal="center"/>
    </xf>
    <xf numFmtId="166" fontId="28" fillId="0" borderId="59" xfId="0" applyNumberFormat="1" applyFont="1" applyBorder="1" applyAlignment="1">
      <alignment horizontal="center"/>
    </xf>
    <xf numFmtId="166" fontId="28" fillId="0" borderId="17" xfId="0" applyNumberFormat="1" applyFont="1" applyBorder="1" applyAlignment="1">
      <alignment horizontal="center"/>
    </xf>
    <xf numFmtId="166" fontId="28" fillId="0" borderId="18" xfId="0" applyNumberFormat="1" applyFont="1" applyBorder="1" applyAlignment="1">
      <alignment horizontal="center"/>
    </xf>
    <xf numFmtId="0" fontId="41" fillId="0" borderId="51" xfId="0" applyFont="1" applyBorder="1" applyAlignment="1">
      <alignment horizontal="center" vertical="center" wrapText="1"/>
    </xf>
    <xf numFmtId="166" fontId="27" fillId="0" borderId="42" xfId="73" applyNumberFormat="1" applyFont="1" applyBorder="1" applyAlignment="1">
      <alignment horizontal="center" vertical="center" wrapText="1"/>
    </xf>
    <xf numFmtId="0" fontId="27" fillId="0" borderId="42" xfId="73" applyFont="1" applyBorder="1" applyAlignment="1">
      <alignment horizontal="center" vertical="center" wrapText="1"/>
    </xf>
    <xf numFmtId="165" fontId="27" fillId="0" borderId="42" xfId="73" applyNumberFormat="1" applyFont="1" applyBorder="1" applyAlignment="1">
      <alignment horizontal="center" vertical="center" wrapText="1"/>
    </xf>
    <xf numFmtId="166" fontId="27" fillId="0" borderId="41" xfId="73" applyNumberFormat="1" applyFont="1" applyBorder="1" applyAlignment="1">
      <alignment horizontal="center" vertical="center" wrapText="1"/>
    </xf>
    <xf numFmtId="0" fontId="27" fillId="0" borderId="2" xfId="73" applyFont="1" applyBorder="1" applyAlignment="1">
      <alignment horizontal="center" vertical="center" wrapText="1"/>
    </xf>
    <xf numFmtId="2" fontId="27" fillId="0" borderId="2" xfId="73" applyNumberFormat="1" applyFont="1" applyBorder="1" applyAlignment="1">
      <alignment horizontal="center" vertical="center" wrapText="1"/>
    </xf>
    <xf numFmtId="165" fontId="27" fillId="0" borderId="36" xfId="73" applyNumberFormat="1" applyFont="1" applyBorder="1" applyAlignment="1">
      <alignment horizontal="center" vertical="center" wrapText="1"/>
    </xf>
    <xf numFmtId="165" fontId="27" fillId="0" borderId="8" xfId="73" applyNumberFormat="1" applyFont="1" applyBorder="1" applyAlignment="1">
      <alignment horizontal="center" vertical="center" wrapText="1"/>
    </xf>
    <xf numFmtId="165" fontId="27" fillId="0" borderId="1" xfId="73" applyNumberFormat="1" applyFont="1" applyBorder="1" applyAlignment="1">
      <alignment horizontal="center" vertical="center" wrapText="1"/>
    </xf>
    <xf numFmtId="2" fontId="27" fillId="0" borderId="1" xfId="73" applyNumberFormat="1" applyFont="1" applyBorder="1" applyAlignment="1">
      <alignment horizontal="center" vertical="center" wrapText="1"/>
    </xf>
    <xf numFmtId="0" fontId="27" fillId="0" borderId="1" xfId="73" applyFont="1" applyBorder="1" applyAlignment="1">
      <alignment horizontal="center" vertical="center" wrapText="1"/>
    </xf>
    <xf numFmtId="166" fontId="27" fillId="0" borderId="61" xfId="73" applyNumberFormat="1" applyFont="1" applyBorder="1" applyAlignment="1">
      <alignment horizontal="center" vertical="center" wrapText="1"/>
    </xf>
    <xf numFmtId="166" fontId="27" fillId="0" borderId="1" xfId="73" applyNumberFormat="1" applyFont="1" applyBorder="1" applyAlignment="1">
      <alignment horizontal="center" vertical="center" wrapText="1"/>
    </xf>
    <xf numFmtId="166" fontId="27" fillId="0" borderId="3" xfId="73" applyNumberFormat="1" applyFont="1" applyBorder="1" applyAlignment="1">
      <alignment horizontal="center" vertical="center" wrapText="1"/>
    </xf>
    <xf numFmtId="165" fontId="27" fillId="0" borderId="16" xfId="73" applyNumberFormat="1" applyFont="1" applyBorder="1" applyAlignment="1">
      <alignment horizontal="center" vertical="center" wrapText="1"/>
    </xf>
    <xf numFmtId="0" fontId="29" fillId="0" borderId="25" xfId="73" applyFont="1" applyBorder="1" applyAlignment="1">
      <alignment horizontal="center" vertical="center" wrapText="1"/>
    </xf>
    <xf numFmtId="165" fontId="27" fillId="0" borderId="3" xfId="73" applyNumberFormat="1" applyFont="1" applyBorder="1" applyAlignment="1">
      <alignment horizontal="center" vertical="center" wrapText="1"/>
    </xf>
    <xf numFmtId="0" fontId="29" fillId="0" borderId="15" xfId="73" applyFont="1" applyBorder="1" applyAlignment="1">
      <alignment horizontal="center" vertical="center" wrapText="1"/>
    </xf>
    <xf numFmtId="166" fontId="27" fillId="0" borderId="2" xfId="73" applyNumberFormat="1" applyFont="1" applyBorder="1" applyAlignment="1">
      <alignment horizontal="center" vertical="center" wrapText="1"/>
    </xf>
    <xf numFmtId="165" fontId="27" fillId="0" borderId="2" xfId="73" applyNumberFormat="1" applyFont="1" applyBorder="1" applyAlignment="1">
      <alignment horizontal="center" vertical="center" wrapText="1"/>
    </xf>
    <xf numFmtId="166" fontId="27" fillId="0" borderId="72" xfId="73" applyNumberFormat="1" applyFont="1" applyBorder="1" applyAlignment="1">
      <alignment horizontal="center" vertical="center" wrapText="1"/>
    </xf>
    <xf numFmtId="165" fontId="27" fillId="0" borderId="5" xfId="73" applyNumberFormat="1" applyFont="1" applyBorder="1" applyAlignment="1">
      <alignment horizontal="center" vertical="center" wrapText="1"/>
    </xf>
    <xf numFmtId="0" fontId="27" fillId="0" borderId="5" xfId="73" applyFont="1" applyBorder="1" applyAlignment="1">
      <alignment horizontal="center" vertical="center" wrapText="1"/>
    </xf>
    <xf numFmtId="165" fontId="27" fillId="0" borderId="6" xfId="73" applyNumberFormat="1" applyFont="1" applyBorder="1" applyAlignment="1">
      <alignment horizontal="center" vertical="center" wrapText="1"/>
    </xf>
    <xf numFmtId="0" fontId="29" fillId="0" borderId="33" xfId="73" applyFont="1" applyBorder="1" applyAlignment="1">
      <alignment horizontal="center" vertical="center" wrapText="1"/>
    </xf>
    <xf numFmtId="166" fontId="27" fillId="0" borderId="5" xfId="73" applyNumberFormat="1" applyFont="1" applyBorder="1" applyAlignment="1">
      <alignment horizontal="center" vertical="center" wrapText="1"/>
    </xf>
    <xf numFmtId="0" fontId="29" fillId="0" borderId="28" xfId="73" applyFont="1" applyBorder="1" applyAlignment="1">
      <alignment horizontal="center" vertical="center" wrapText="1"/>
    </xf>
    <xf numFmtId="165" fontId="27" fillId="0" borderId="31" xfId="73" applyNumberFormat="1" applyFont="1" applyBorder="1" applyAlignment="1">
      <alignment horizontal="center" vertical="center" wrapText="1"/>
    </xf>
    <xf numFmtId="166" fontId="27" fillId="0" borderId="31" xfId="73" applyNumberFormat="1" applyFont="1" applyBorder="1" applyAlignment="1">
      <alignment horizontal="center" vertical="center" wrapText="1"/>
    </xf>
    <xf numFmtId="0" fontId="27" fillId="0" borderId="31" xfId="73" applyFont="1" applyBorder="1" applyAlignment="1">
      <alignment horizontal="center" vertical="center" wrapText="1"/>
    </xf>
    <xf numFmtId="165" fontId="27" fillId="0" borderId="32" xfId="73" applyNumberFormat="1" applyFont="1" applyBorder="1" applyAlignment="1">
      <alignment horizontal="center" vertical="center" wrapText="1"/>
    </xf>
    <xf numFmtId="166" fontId="27" fillId="0" borderId="17" xfId="73" applyNumberFormat="1" applyFont="1" applyBorder="1" applyAlignment="1">
      <alignment horizontal="center" vertical="center" wrapText="1"/>
    </xf>
    <xf numFmtId="166" fontId="27" fillId="0" borderId="30" xfId="73" applyNumberFormat="1" applyFont="1" applyBorder="1" applyAlignment="1">
      <alignment horizontal="center" vertical="center" wrapText="1"/>
    </xf>
    <xf numFmtId="166" fontId="27" fillId="0" borderId="4" xfId="73" applyNumberFormat="1" applyFont="1" applyBorder="1" applyAlignment="1">
      <alignment horizontal="center" vertical="center" wrapText="1"/>
    </xf>
    <xf numFmtId="0" fontId="27" fillId="0" borderId="3" xfId="73" applyFont="1" applyBorder="1" applyAlignment="1">
      <alignment horizontal="center" vertical="center" wrapText="1"/>
    </xf>
    <xf numFmtId="166" fontId="27" fillId="0" borderId="18" xfId="73" applyNumberFormat="1" applyFont="1" applyBorder="1" applyAlignment="1">
      <alignment horizontal="center" vertical="center" wrapText="1"/>
    </xf>
    <xf numFmtId="165" fontId="27" fillId="0" borderId="7" xfId="73" applyNumberFormat="1" applyFont="1" applyBorder="1" applyAlignment="1">
      <alignment horizontal="center" vertical="center" wrapText="1"/>
    </xf>
    <xf numFmtId="0" fontId="29" fillId="6" borderId="22" xfId="50" applyFont="1" applyFill="1" applyBorder="1" applyAlignment="1">
      <alignment horizontal="center" vertical="center" wrapText="1"/>
    </xf>
    <xf numFmtId="0" fontId="29" fillId="6" borderId="23" xfId="50" applyFont="1" applyFill="1" applyBorder="1" applyAlignment="1">
      <alignment horizontal="center" vertical="center" wrapText="1"/>
    </xf>
    <xf numFmtId="166" fontId="0" fillId="3" borderId="30" xfId="35" applyNumberFormat="1" applyFont="1" applyBorder="1" applyAlignment="1">
      <alignment horizontal="center" vertical="center"/>
    </xf>
    <xf numFmtId="166" fontId="0" fillId="3" borderId="31" xfId="35" applyNumberFormat="1" applyFont="1" applyBorder="1" applyAlignment="1">
      <alignment horizontal="center" vertical="center"/>
    </xf>
    <xf numFmtId="166" fontId="0" fillId="3" borderId="32" xfId="35" applyNumberFormat="1" applyFont="1" applyBorder="1" applyAlignment="1">
      <alignment horizontal="center" vertical="center"/>
    </xf>
    <xf numFmtId="166" fontId="0" fillId="3" borderId="75" xfId="35" quotePrefix="1" applyNumberFormat="1" applyFont="1" applyBorder="1" applyAlignment="1">
      <alignment horizontal="center" vertical="center"/>
    </xf>
    <xf numFmtId="166" fontId="0" fillId="3" borderId="56" xfId="35" quotePrefix="1" applyNumberFormat="1" applyFont="1" applyBorder="1" applyAlignment="1">
      <alignment horizontal="center" vertical="center"/>
    </xf>
    <xf numFmtId="166" fontId="0" fillId="3" borderId="37" xfId="35" quotePrefix="1" applyNumberFormat="1" applyFont="1" applyBorder="1" applyAlignment="1">
      <alignment horizontal="center" vertical="center"/>
    </xf>
    <xf numFmtId="166" fontId="0" fillId="3" borderId="37" xfId="35" applyNumberFormat="1" applyFont="1" applyBorder="1" applyAlignment="1">
      <alignment horizontal="center" vertical="center"/>
    </xf>
    <xf numFmtId="165" fontId="0" fillId="3" borderId="70" xfId="35" applyNumberFormat="1" applyFont="1" applyBorder="1" applyAlignment="1">
      <alignment horizontal="center" vertical="center"/>
    </xf>
    <xf numFmtId="1" fontId="28" fillId="6" borderId="19" xfId="53" applyNumberFormat="1" applyFont="1" applyFill="1" applyBorder="1" applyAlignment="1">
      <alignment horizontal="center" vertical="center"/>
    </xf>
    <xf numFmtId="2" fontId="28" fillId="6" borderId="2" xfId="0" applyNumberFormat="1" applyFont="1" applyFill="1" applyBorder="1" applyAlignment="1">
      <alignment horizontal="center" vertical="center"/>
    </xf>
    <xf numFmtId="166" fontId="28" fillId="6" borderId="2" xfId="0" applyNumberFormat="1" applyFont="1" applyFill="1" applyBorder="1" applyAlignment="1">
      <alignment horizontal="center" vertical="center"/>
    </xf>
    <xf numFmtId="1" fontId="28" fillId="6" borderId="58" xfId="53" applyNumberFormat="1" applyFont="1" applyFill="1" applyBorder="1" applyAlignment="1">
      <alignment horizontal="center" vertical="center"/>
    </xf>
    <xf numFmtId="165" fontId="28" fillId="6" borderId="14" xfId="53" applyNumberFormat="1" applyFont="1" applyFill="1" applyBorder="1" applyAlignment="1">
      <alignment horizontal="center" vertical="center"/>
    </xf>
    <xf numFmtId="2" fontId="28" fillId="6" borderId="14" xfId="53" applyNumberFormat="1" applyFont="1" applyFill="1" applyBorder="1" applyAlignment="1">
      <alignment horizontal="center" vertical="center"/>
    </xf>
    <xf numFmtId="166" fontId="28" fillId="6" borderId="14" xfId="53" applyNumberFormat="1" applyFont="1" applyFill="1" applyBorder="1" applyAlignment="1">
      <alignment horizontal="center" vertical="center"/>
    </xf>
    <xf numFmtId="165" fontId="28" fillId="6" borderId="54" xfId="53" applyNumberFormat="1" applyFont="1" applyFill="1" applyBorder="1" applyAlignment="1">
      <alignment horizontal="center" vertical="center"/>
    </xf>
    <xf numFmtId="165" fontId="28" fillId="0" borderId="14" xfId="0" applyNumberFormat="1" applyFont="1" applyBorder="1" applyAlignment="1">
      <alignment horizontal="center" vertical="center"/>
    </xf>
    <xf numFmtId="165" fontId="28" fillId="6" borderId="5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8" fillId="10" borderId="0" xfId="0" applyFont="1" applyFill="1"/>
    <xf numFmtId="0" fontId="9" fillId="10" borderId="0" xfId="0" applyFont="1" applyFill="1"/>
    <xf numFmtId="0" fontId="26" fillId="10" borderId="0" xfId="0" applyFont="1" applyFill="1"/>
    <xf numFmtId="0" fontId="35" fillId="10" borderId="0" xfId="0" applyFont="1" applyFill="1"/>
    <xf numFmtId="0" fontId="29" fillId="0" borderId="6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" fontId="28" fillId="6" borderId="60" xfId="53" applyNumberFormat="1" applyFont="1" applyFill="1" applyBorder="1" applyAlignment="1">
      <alignment horizontal="center" vertical="center"/>
    </xf>
    <xf numFmtId="1" fontId="28" fillId="6" borderId="59" xfId="53" applyNumberFormat="1" applyFont="1" applyFill="1" applyBorder="1" applyAlignment="1">
      <alignment horizontal="center" vertical="center"/>
    </xf>
    <xf numFmtId="166" fontId="28" fillId="6" borderId="61" xfId="53" applyNumberFormat="1" applyFont="1" applyFill="1" applyBorder="1" applyAlignment="1">
      <alignment horizontal="center" vertical="center"/>
    </xf>
    <xf numFmtId="166" fontId="28" fillId="6" borderId="60" xfId="53" applyNumberFormat="1" applyFont="1" applyFill="1" applyBorder="1" applyAlignment="1">
      <alignment horizontal="center" vertical="center"/>
    </xf>
    <xf numFmtId="1" fontId="27" fillId="0" borderId="41" xfId="53" applyNumberFormat="1" applyFont="1" applyBorder="1" applyAlignment="1">
      <alignment horizontal="center" vertical="center"/>
    </xf>
    <xf numFmtId="1" fontId="27" fillId="0" borderId="18" xfId="53" applyNumberFormat="1" applyFont="1" applyBorder="1" applyAlignment="1">
      <alignment horizontal="center" vertical="center"/>
    </xf>
    <xf numFmtId="0" fontId="51" fillId="11" borderId="13" xfId="0" applyFont="1" applyFill="1" applyBorder="1" applyAlignment="1">
      <alignment horizontal="center" vertical="center" wrapText="1"/>
    </xf>
    <xf numFmtId="0" fontId="51" fillId="11" borderId="10" xfId="0" applyFont="1" applyFill="1" applyBorder="1" applyAlignment="1">
      <alignment horizontal="center" vertical="center" wrapText="1"/>
    </xf>
    <xf numFmtId="0" fontId="51" fillId="11" borderId="11" xfId="0" applyFont="1" applyFill="1" applyBorder="1" applyAlignment="1">
      <alignment horizontal="center" vertical="center" wrapText="1"/>
    </xf>
    <xf numFmtId="165" fontId="38" fillId="11" borderId="42" xfId="0" applyNumberFormat="1" applyFont="1" applyFill="1" applyBorder="1" applyAlignment="1">
      <alignment horizontal="center" vertical="center" wrapText="1"/>
    </xf>
    <xf numFmtId="165" fontId="38" fillId="11" borderId="3" xfId="0" applyNumberFormat="1" applyFont="1" applyFill="1" applyBorder="1" applyAlignment="1">
      <alignment horizontal="center" vertical="center" wrapText="1"/>
    </xf>
    <xf numFmtId="165" fontId="38" fillId="11" borderId="5" xfId="0" applyNumberFormat="1" applyFont="1" applyFill="1" applyBorder="1" applyAlignment="1">
      <alignment horizontal="center" vertical="center" wrapText="1"/>
    </xf>
    <xf numFmtId="166" fontId="38" fillId="11" borderId="42" xfId="0" applyNumberFormat="1" applyFont="1" applyFill="1" applyBorder="1" applyAlignment="1">
      <alignment horizontal="center" vertical="center" wrapText="1"/>
    </xf>
    <xf numFmtId="166" fontId="38" fillId="11" borderId="3" xfId="0" applyNumberFormat="1" applyFont="1" applyFill="1" applyBorder="1" applyAlignment="1">
      <alignment horizontal="center" vertical="center" wrapText="1"/>
    </xf>
    <xf numFmtId="166" fontId="38" fillId="11" borderId="5" xfId="0" applyNumberFormat="1" applyFont="1" applyFill="1" applyBorder="1" applyAlignment="1">
      <alignment horizontal="center" vertical="center" wrapText="1"/>
    </xf>
    <xf numFmtId="2" fontId="38" fillId="11" borderId="42" xfId="0" applyNumberFormat="1" applyFont="1" applyFill="1" applyBorder="1" applyAlignment="1">
      <alignment horizontal="center" vertical="center" wrapText="1"/>
    </xf>
    <xf numFmtId="2" fontId="38" fillId="11" borderId="3" xfId="0" applyNumberFormat="1" applyFont="1" applyFill="1" applyBorder="1" applyAlignment="1">
      <alignment horizontal="center" vertical="center" wrapText="1"/>
    </xf>
    <xf numFmtId="2" fontId="38" fillId="11" borderId="5" xfId="0" applyNumberFormat="1" applyFont="1" applyFill="1" applyBorder="1" applyAlignment="1">
      <alignment horizontal="center" vertical="center" wrapText="1"/>
    </xf>
    <xf numFmtId="0" fontId="38" fillId="11" borderId="42" xfId="0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51" fillId="11" borderId="42" xfId="0" applyFont="1" applyFill="1" applyBorder="1" applyAlignment="1">
      <alignment horizontal="center" vertical="center" wrapText="1"/>
    </xf>
    <xf numFmtId="0" fontId="51" fillId="11" borderId="3" xfId="0" applyFont="1" applyFill="1" applyBorder="1" applyAlignment="1">
      <alignment horizontal="center" vertical="center" wrapText="1"/>
    </xf>
    <xf numFmtId="0" fontId="51" fillId="11" borderId="5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 wrapText="1"/>
    </xf>
    <xf numFmtId="166" fontId="38" fillId="11" borderId="1" xfId="0" applyNumberFormat="1" applyFont="1" applyFill="1" applyBorder="1" applyAlignment="1">
      <alignment horizontal="center" vertical="center" wrapText="1"/>
    </xf>
    <xf numFmtId="2" fontId="38" fillId="11" borderId="1" xfId="0" applyNumberFormat="1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vertical="center" wrapText="1"/>
    </xf>
    <xf numFmtId="165" fontId="38" fillId="11" borderId="8" xfId="0" applyNumberFormat="1" applyFont="1" applyFill="1" applyBorder="1" applyAlignment="1">
      <alignment horizontal="center" vertical="center" wrapText="1"/>
    </xf>
    <xf numFmtId="165" fontId="38" fillId="11" borderId="7" xfId="0" applyNumberFormat="1" applyFont="1" applyFill="1" applyBorder="1" applyAlignment="1">
      <alignment horizontal="center" vertical="center" wrapText="1"/>
    </xf>
    <xf numFmtId="165" fontId="38" fillId="11" borderId="6" xfId="0" applyNumberFormat="1" applyFont="1" applyFill="1" applyBorder="1" applyAlignment="1">
      <alignment horizontal="center" vertical="center" wrapText="1"/>
    </xf>
    <xf numFmtId="0" fontId="51" fillId="11" borderId="71" xfId="0" applyFont="1" applyFill="1" applyBorder="1" applyAlignment="1">
      <alignment horizontal="center" vertical="center" wrapText="1"/>
    </xf>
    <xf numFmtId="0" fontId="51" fillId="11" borderId="20" xfId="0" applyFont="1" applyFill="1" applyBorder="1" applyAlignment="1">
      <alignment horizontal="center" vertical="center" wrapText="1"/>
    </xf>
    <xf numFmtId="0" fontId="51" fillId="11" borderId="46" xfId="0" applyFont="1" applyFill="1" applyBorder="1" applyAlignment="1">
      <alignment horizontal="center" vertical="center" wrapText="1"/>
    </xf>
    <xf numFmtId="166" fontId="38" fillId="11" borderId="61" xfId="0" applyNumberFormat="1" applyFont="1" applyFill="1" applyBorder="1" applyAlignment="1">
      <alignment horizontal="center" vertical="center" wrapText="1"/>
    </xf>
    <xf numFmtId="166" fontId="38" fillId="11" borderId="60" xfId="0" applyNumberFormat="1" applyFont="1" applyFill="1" applyBorder="1" applyAlignment="1">
      <alignment horizontal="center" vertical="center" wrapText="1"/>
    </xf>
    <xf numFmtId="166" fontId="38" fillId="11" borderId="59" xfId="0" applyNumberFormat="1" applyFont="1" applyFill="1" applyBorder="1" applyAlignment="1">
      <alignment horizontal="center" vertical="center" wrapText="1"/>
    </xf>
    <xf numFmtId="1" fontId="38" fillId="11" borderId="60" xfId="0" applyNumberFormat="1" applyFont="1" applyFill="1" applyBorder="1" applyAlignment="1">
      <alignment horizontal="center" vertical="center" wrapText="1"/>
    </xf>
    <xf numFmtId="1" fontId="38" fillId="11" borderId="59" xfId="0" applyNumberFormat="1" applyFont="1" applyFill="1" applyBorder="1" applyAlignment="1">
      <alignment horizontal="center" vertical="center" wrapText="1"/>
    </xf>
    <xf numFmtId="1" fontId="38" fillId="11" borderId="64" xfId="0" applyNumberFormat="1" applyFont="1" applyFill="1" applyBorder="1" applyAlignment="1">
      <alignment horizontal="center" vertical="center" wrapText="1"/>
    </xf>
    <xf numFmtId="1" fontId="38" fillId="11" borderId="3" xfId="0" applyNumberFormat="1" applyFont="1" applyFill="1" applyBorder="1" applyAlignment="1">
      <alignment horizontal="center" vertical="center" wrapText="1"/>
    </xf>
    <xf numFmtId="1" fontId="38" fillId="11" borderId="5" xfId="0" applyNumberFormat="1" applyFont="1" applyFill="1" applyBorder="1" applyAlignment="1">
      <alignment horizontal="center" vertical="center" wrapText="1"/>
    </xf>
    <xf numFmtId="0" fontId="41" fillId="0" borderId="71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166" fontId="28" fillId="0" borderId="64" xfId="0" applyNumberFormat="1" applyFont="1" applyBorder="1" applyAlignment="1">
      <alignment horizontal="center"/>
    </xf>
    <xf numFmtId="1" fontId="28" fillId="0" borderId="18" xfId="0" applyNumberFormat="1" applyFont="1" applyBorder="1" applyAlignment="1">
      <alignment horizontal="center"/>
    </xf>
    <xf numFmtId="1" fontId="28" fillId="0" borderId="4" xfId="0" applyNumberFormat="1" applyFont="1" applyBorder="1" applyAlignment="1">
      <alignment horizontal="center"/>
    </xf>
    <xf numFmtId="1" fontId="28" fillId="0" borderId="3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165" fontId="28" fillId="0" borderId="42" xfId="0" applyNumberFormat="1" applyFont="1" applyBorder="1" applyAlignment="1">
      <alignment horizontal="center" vertical="center" wrapText="1"/>
    </xf>
    <xf numFmtId="1" fontId="28" fillId="0" borderId="60" xfId="0" applyNumberFormat="1" applyFont="1" applyBorder="1" applyAlignment="1">
      <alignment horizontal="center" vertical="center" wrapText="1"/>
    </xf>
    <xf numFmtId="1" fontId="28" fillId="0" borderId="41" xfId="0" applyNumberFormat="1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/>
    </xf>
    <xf numFmtId="0" fontId="28" fillId="0" borderId="61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8" fillId="0" borderId="72" xfId="0" applyFont="1" applyBorder="1" applyAlignment="1">
      <alignment horizontal="center" vertical="center"/>
    </xf>
    <xf numFmtId="166" fontId="28" fillId="0" borderId="3" xfId="0" applyNumberFormat="1" applyFont="1" applyBorder="1" applyAlignment="1">
      <alignment horizontal="center" vertical="center"/>
    </xf>
    <xf numFmtId="166" fontId="28" fillId="0" borderId="5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50" fillId="11" borderId="9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50" fillId="11" borderId="51" xfId="0" applyFont="1" applyFill="1" applyBorder="1" applyAlignment="1">
      <alignment horizontal="center" vertical="center" wrapText="1"/>
    </xf>
    <xf numFmtId="1" fontId="38" fillId="11" borderId="61" xfId="0" applyNumberFormat="1" applyFont="1" applyFill="1" applyBorder="1" applyAlignment="1">
      <alignment horizontal="center" vertical="center" wrapText="1"/>
    </xf>
    <xf numFmtId="1" fontId="28" fillId="6" borderId="72" xfId="53" applyNumberFormat="1" applyFont="1" applyFill="1" applyBorder="1" applyAlignment="1">
      <alignment horizontal="center" vertical="center"/>
    </xf>
    <xf numFmtId="1" fontId="28" fillId="6" borderId="61" xfId="53" applyNumberFormat="1" applyFont="1" applyFill="1" applyBorder="1" applyAlignment="1">
      <alignment horizontal="center" vertical="center"/>
    </xf>
    <xf numFmtId="1" fontId="28" fillId="6" borderId="64" xfId="53" applyNumberFormat="1" applyFont="1" applyFill="1" applyBorder="1" applyAlignment="1">
      <alignment horizontal="center" vertical="center"/>
    </xf>
    <xf numFmtId="0" fontId="41" fillId="0" borderId="51" xfId="53" applyFont="1" applyBorder="1" applyAlignment="1">
      <alignment horizontal="center" vertical="center" wrapText="1"/>
    </xf>
    <xf numFmtId="0" fontId="41" fillId="0" borderId="71" xfId="53" applyFont="1" applyBorder="1" applyAlignment="1">
      <alignment horizontal="center" vertical="center" wrapText="1"/>
    </xf>
    <xf numFmtId="0" fontId="41" fillId="0" borderId="20" xfId="53" applyFont="1" applyBorder="1" applyAlignment="1">
      <alignment horizontal="center" vertical="center" wrapText="1"/>
    </xf>
    <xf numFmtId="0" fontId="41" fillId="0" borderId="46" xfId="53" applyFont="1" applyBorder="1" applyAlignment="1">
      <alignment horizontal="center" vertical="center" wrapText="1"/>
    </xf>
    <xf numFmtId="0" fontId="41" fillId="0" borderId="21" xfId="53" applyFont="1" applyBorder="1" applyAlignment="1">
      <alignment horizontal="center" vertical="center" wrapText="1"/>
    </xf>
    <xf numFmtId="0" fontId="41" fillId="0" borderId="47" xfId="53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51" fillId="11" borderId="47" xfId="0" applyFont="1" applyFill="1" applyBorder="1" applyAlignment="1">
      <alignment horizontal="center" vertical="center" wrapText="1"/>
    </xf>
    <xf numFmtId="1" fontId="38" fillId="11" borderId="42" xfId="0" applyNumberFormat="1" applyFont="1" applyFill="1" applyBorder="1" applyAlignment="1">
      <alignment horizontal="center" vertical="center" wrapText="1"/>
    </xf>
    <xf numFmtId="165" fontId="38" fillId="11" borderId="36" xfId="0" applyNumberFormat="1" applyFont="1" applyFill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2" fontId="40" fillId="0" borderId="59" xfId="0" applyNumberFormat="1" applyFont="1" applyBorder="1" applyAlignment="1">
      <alignment horizontal="center" vertical="center" wrapText="1"/>
    </xf>
    <xf numFmtId="2" fontId="40" fillId="0" borderId="5" xfId="0" applyNumberFormat="1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 wrapText="1"/>
    </xf>
    <xf numFmtId="166" fontId="40" fillId="0" borderId="45" xfId="0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165" fontId="40" fillId="0" borderId="5" xfId="0" applyNumberFormat="1" applyFont="1" applyBorder="1" applyAlignment="1">
      <alignment horizontal="center" vertical="center" wrapText="1"/>
    </xf>
    <xf numFmtId="165" fontId="40" fillId="0" borderId="37" xfId="0" applyNumberFormat="1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54" fillId="0" borderId="61" xfId="0" applyFont="1" applyBorder="1" applyAlignment="1">
      <alignment horizontal="center"/>
    </xf>
    <xf numFmtId="0" fontId="54" fillId="0" borderId="60" xfId="0" applyFont="1" applyBorder="1" applyAlignment="1">
      <alignment horizontal="center"/>
    </xf>
    <xf numFmtId="0" fontId="54" fillId="0" borderId="59" xfId="0" applyFont="1" applyBorder="1" applyAlignment="1">
      <alignment horizontal="center"/>
    </xf>
    <xf numFmtId="0" fontId="54" fillId="12" borderId="1" xfId="0" applyFont="1" applyFill="1" applyBorder="1" applyAlignment="1">
      <alignment horizontal="center" vertical="center"/>
    </xf>
    <xf numFmtId="0" fontId="54" fillId="12" borderId="3" xfId="0" applyFont="1" applyFill="1" applyBorder="1" applyAlignment="1">
      <alignment horizontal="center" vertical="center"/>
    </xf>
    <xf numFmtId="0" fontId="54" fillId="12" borderId="5" xfId="0" applyFont="1" applyFill="1" applyBorder="1" applyAlignment="1">
      <alignment horizontal="center" vertical="center"/>
    </xf>
    <xf numFmtId="166" fontId="54" fillId="12" borderId="3" xfId="0" applyNumberFormat="1" applyFont="1" applyFill="1" applyBorder="1" applyAlignment="1">
      <alignment horizontal="center" vertical="center"/>
    </xf>
    <xf numFmtId="165" fontId="54" fillId="12" borderId="3" xfId="0" applyNumberFormat="1" applyFont="1" applyFill="1" applyBorder="1" applyAlignment="1">
      <alignment horizontal="center" vertical="center"/>
    </xf>
    <xf numFmtId="0" fontId="54" fillId="12" borderId="8" xfId="0" applyFont="1" applyFill="1" applyBorder="1" applyAlignment="1">
      <alignment horizontal="center" vertical="center"/>
    </xf>
    <xf numFmtId="0" fontId="54" fillId="12" borderId="7" xfId="0" applyFont="1" applyFill="1" applyBorder="1" applyAlignment="1">
      <alignment horizontal="center" vertical="center"/>
    </xf>
    <xf numFmtId="0" fontId="54" fillId="12" borderId="6" xfId="0" applyFont="1" applyFill="1" applyBorder="1" applyAlignment="1">
      <alignment horizontal="center" vertical="center"/>
    </xf>
    <xf numFmtId="166" fontId="27" fillId="6" borderId="3" xfId="0" applyNumberFormat="1" applyFont="1" applyFill="1" applyBorder="1" applyAlignment="1">
      <alignment horizontal="center" vertical="center"/>
    </xf>
    <xf numFmtId="166" fontId="27" fillId="6" borderId="61" xfId="0" applyNumberFormat="1" applyFont="1" applyFill="1" applyBorder="1" applyAlignment="1">
      <alignment horizontal="center" vertical="center" wrapText="1"/>
    </xf>
    <xf numFmtId="166" fontId="27" fillId="6" borderId="60" xfId="0" applyNumberFormat="1" applyFont="1" applyFill="1" applyBorder="1" applyAlignment="1">
      <alignment horizontal="center" vertical="center" wrapText="1"/>
    </xf>
    <xf numFmtId="0" fontId="29" fillId="6" borderId="71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center"/>
    </xf>
    <xf numFmtId="0" fontId="54" fillId="12" borderId="2" xfId="0" applyFont="1" applyFill="1" applyBorder="1" applyAlignment="1">
      <alignment horizontal="center" vertical="center"/>
    </xf>
    <xf numFmtId="0" fontId="54" fillId="12" borderId="16" xfId="0" applyFont="1" applyFill="1" applyBorder="1" applyAlignment="1">
      <alignment horizontal="center" vertical="center"/>
    </xf>
    <xf numFmtId="0" fontId="39" fillId="0" borderId="71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wrapText="1"/>
    </xf>
    <xf numFmtId="166" fontId="27" fillId="0" borderId="61" xfId="0" applyNumberFormat="1" applyFont="1" applyBorder="1" applyAlignment="1">
      <alignment horizontal="center" vertical="top" wrapText="1"/>
    </xf>
    <xf numFmtId="166" fontId="27" fillId="0" borderId="60" xfId="0" applyNumberFormat="1" applyFont="1" applyBorder="1" applyAlignment="1">
      <alignment horizontal="center" vertical="top" wrapText="1"/>
    </xf>
    <xf numFmtId="166" fontId="27" fillId="0" borderId="72" xfId="0" applyNumberFormat="1" applyFont="1" applyBorder="1" applyAlignment="1">
      <alignment horizontal="center" vertical="top" wrapText="1"/>
    </xf>
    <xf numFmtId="0" fontId="46" fillId="0" borderId="71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2" fontId="27" fillId="0" borderId="3" xfId="73" applyNumberFormat="1" applyFont="1" applyBorder="1" applyAlignment="1">
      <alignment horizontal="center" vertical="center" wrapText="1"/>
    </xf>
    <xf numFmtId="2" fontId="27" fillId="0" borderId="5" xfId="73" applyNumberFormat="1" applyFont="1" applyBorder="1" applyAlignment="1">
      <alignment horizontal="center" vertical="center" wrapText="1"/>
    </xf>
    <xf numFmtId="166" fontId="27" fillId="0" borderId="60" xfId="73" applyNumberFormat="1" applyFont="1" applyBorder="1" applyAlignment="1">
      <alignment horizontal="center" vertical="center" wrapText="1"/>
    </xf>
    <xf numFmtId="166" fontId="27" fillId="0" borderId="59" xfId="73" applyNumberFormat="1" applyFont="1" applyBorder="1" applyAlignment="1">
      <alignment horizontal="center" vertical="center" wrapText="1"/>
    </xf>
    <xf numFmtId="0" fontId="41" fillId="6" borderId="57" xfId="0" applyFont="1" applyFill="1" applyBorder="1" applyAlignment="1">
      <alignment horizontal="center" vertical="center" wrapText="1"/>
    </xf>
    <xf numFmtId="166" fontId="38" fillId="11" borderId="64" xfId="0" applyNumberFormat="1" applyFont="1" applyFill="1" applyBorder="1" applyAlignment="1">
      <alignment horizontal="center" vertical="center" wrapText="1"/>
    </xf>
    <xf numFmtId="0" fontId="41" fillId="6" borderId="20" xfId="0" applyFont="1" applyFill="1" applyBorder="1" applyAlignment="1">
      <alignment horizontal="center" vertical="center" wrapText="1"/>
    </xf>
    <xf numFmtId="0" fontId="41" fillId="6" borderId="71" xfId="0" applyFont="1" applyFill="1" applyBorder="1" applyAlignment="1">
      <alignment horizontal="center" vertical="center" wrapText="1"/>
    </xf>
    <xf numFmtId="0" fontId="41" fillId="6" borderId="46" xfId="0" applyFont="1" applyFill="1" applyBorder="1" applyAlignment="1">
      <alignment horizontal="center" vertical="center" wrapText="1"/>
    </xf>
    <xf numFmtId="0" fontId="41" fillId="6" borderId="47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31" fillId="7" borderId="51" xfId="0" applyFont="1" applyFill="1" applyBorder="1" applyAlignment="1">
      <alignment horizontal="center" wrapText="1"/>
    </xf>
    <xf numFmtId="0" fontId="31" fillId="7" borderId="13" xfId="0" applyFont="1" applyFill="1" applyBorder="1" applyAlignment="1">
      <alignment horizontal="center" wrapText="1"/>
    </xf>
    <xf numFmtId="0" fontId="31" fillId="7" borderId="12" xfId="0" applyFont="1" applyFill="1" applyBorder="1" applyAlignment="1">
      <alignment horizontal="center" wrapText="1"/>
    </xf>
    <xf numFmtId="0" fontId="41" fillId="0" borderId="29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31" fillId="7" borderId="39" xfId="0" applyFont="1" applyFill="1" applyBorder="1" applyAlignment="1">
      <alignment horizontal="center" wrapText="1"/>
    </xf>
    <xf numFmtId="0" fontId="41" fillId="0" borderId="66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6" fillId="0" borderId="17" xfId="50" applyFont="1" applyBorder="1" applyAlignment="1">
      <alignment horizontal="center" vertical="center" wrapText="1"/>
    </xf>
    <xf numFmtId="0" fontId="46" fillId="0" borderId="18" xfId="50" applyFont="1" applyBorder="1" applyAlignment="1">
      <alignment horizontal="center" vertical="center" wrapText="1"/>
    </xf>
    <xf numFmtId="0" fontId="46" fillId="0" borderId="4" xfId="50" applyFont="1" applyBorder="1" applyAlignment="1">
      <alignment horizontal="center" vertical="center" wrapText="1"/>
    </xf>
    <xf numFmtId="0" fontId="46" fillId="0" borderId="8" xfId="50" applyFont="1" applyBorder="1" applyAlignment="1">
      <alignment horizontal="center" vertical="center" wrapText="1"/>
    </xf>
    <xf numFmtId="0" fontId="46" fillId="0" borderId="7" xfId="50" applyFont="1" applyBorder="1" applyAlignment="1">
      <alignment horizontal="center" vertical="center" wrapText="1"/>
    </xf>
    <xf numFmtId="0" fontId="46" fillId="0" borderId="6" xfId="50" applyFont="1" applyBorder="1" applyAlignment="1">
      <alignment horizontal="center" vertical="center" wrapText="1"/>
    </xf>
    <xf numFmtId="0" fontId="41" fillId="6" borderId="28" xfId="0" applyFont="1" applyFill="1" applyBorder="1" applyAlignment="1">
      <alignment horizontal="center" vertical="center" wrapText="1"/>
    </xf>
    <xf numFmtId="0" fontId="41" fillId="6" borderId="29" xfId="0" applyFont="1" applyFill="1" applyBorder="1" applyAlignment="1">
      <alignment horizontal="center" vertical="center" wrapText="1"/>
    </xf>
    <xf numFmtId="0" fontId="41" fillId="6" borderId="40" xfId="0" applyFont="1" applyFill="1" applyBorder="1" applyAlignment="1">
      <alignment horizontal="center" vertical="center" wrapText="1"/>
    </xf>
    <xf numFmtId="0" fontId="41" fillId="6" borderId="62" xfId="0" applyFont="1" applyFill="1" applyBorder="1" applyAlignment="1">
      <alignment horizontal="center" vertical="center" wrapText="1"/>
    </xf>
    <xf numFmtId="0" fontId="41" fillId="6" borderId="63" xfId="0" applyFont="1" applyFill="1" applyBorder="1" applyAlignment="1">
      <alignment horizontal="center" vertical="center" wrapText="1"/>
    </xf>
    <xf numFmtId="0" fontId="41" fillId="6" borderId="44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36" fillId="7" borderId="51" xfId="0" applyFont="1" applyFill="1" applyBorder="1" applyAlignment="1">
      <alignment horizontal="center" vertical="center" wrapText="1"/>
    </xf>
    <xf numFmtId="0" fontId="36" fillId="7" borderId="39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29" fillId="7" borderId="9" xfId="53" applyFont="1" applyFill="1" applyBorder="1" applyAlignment="1">
      <alignment horizontal="center" vertical="center"/>
    </xf>
    <xf numFmtId="0" fontId="29" fillId="7" borderId="10" xfId="53" applyFont="1" applyFill="1" applyBorder="1" applyAlignment="1">
      <alignment horizontal="center" vertical="center"/>
    </xf>
    <xf numFmtId="0" fontId="29" fillId="7" borderId="11" xfId="53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wrapText="1"/>
    </xf>
    <xf numFmtId="0" fontId="29" fillId="7" borderId="10" xfId="0" applyFont="1" applyFill="1" applyBorder="1" applyAlignment="1">
      <alignment horizontal="center" wrapText="1"/>
    </xf>
    <xf numFmtId="0" fontId="29" fillId="7" borderId="11" xfId="0" applyFont="1" applyFill="1" applyBorder="1" applyAlignment="1">
      <alignment horizontal="center" wrapText="1"/>
    </xf>
    <xf numFmtId="0" fontId="29" fillId="7" borderId="38" xfId="0" applyFont="1" applyFill="1" applyBorder="1" applyAlignment="1">
      <alignment horizontal="center" wrapText="1"/>
    </xf>
    <xf numFmtId="0" fontId="41" fillId="6" borderId="19" xfId="0" applyFont="1" applyFill="1" applyBorder="1" applyAlignment="1">
      <alignment horizontal="center" vertical="center" wrapText="1"/>
    </xf>
    <xf numFmtId="0" fontId="41" fillId="6" borderId="16" xfId="0" applyFont="1" applyFill="1" applyBorder="1" applyAlignment="1">
      <alignment horizontal="center" vertical="center" wrapText="1"/>
    </xf>
    <xf numFmtId="0" fontId="36" fillId="7" borderId="51" xfId="50" applyFont="1" applyFill="1" applyBorder="1" applyAlignment="1">
      <alignment horizontal="center" vertical="center"/>
    </xf>
    <xf numFmtId="0" fontId="36" fillId="7" borderId="39" xfId="50" applyFont="1" applyFill="1" applyBorder="1" applyAlignment="1">
      <alignment horizontal="center" vertical="center"/>
    </xf>
    <xf numFmtId="0" fontId="36" fillId="7" borderId="12" xfId="5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41" fillId="6" borderId="19" xfId="0" applyFont="1" applyFill="1" applyBorder="1" applyAlignment="1">
      <alignment horizontal="center" vertical="center"/>
    </xf>
    <xf numFmtId="0" fontId="41" fillId="6" borderId="8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50" fillId="11" borderId="51" xfId="0" applyFont="1" applyFill="1" applyBorder="1" applyAlignment="1">
      <alignment horizontal="center" vertical="center" wrapText="1"/>
    </xf>
    <xf numFmtId="0" fontId="50" fillId="11" borderId="12" xfId="0" applyFont="1" applyFill="1" applyBorder="1" applyAlignment="1">
      <alignment horizontal="center" vertical="center" wrapText="1"/>
    </xf>
    <xf numFmtId="0" fontId="52" fillId="11" borderId="28" xfId="0" applyFont="1" applyFill="1" applyBorder="1" applyAlignment="1">
      <alignment horizontal="center" vertical="center"/>
    </xf>
    <xf numFmtId="0" fontId="52" fillId="11" borderId="40" xfId="0" applyFont="1" applyFill="1" applyBorder="1" applyAlignment="1">
      <alignment horizontal="center" vertical="center"/>
    </xf>
    <xf numFmtId="0" fontId="52" fillId="11" borderId="62" xfId="0" applyFont="1" applyFill="1" applyBorder="1" applyAlignment="1">
      <alignment horizontal="center" vertical="center"/>
    </xf>
    <xf numFmtId="0" fontId="52" fillId="11" borderId="44" xfId="0" applyFont="1" applyFill="1" applyBorder="1" applyAlignment="1">
      <alignment horizontal="center" vertical="center"/>
    </xf>
    <xf numFmtId="0" fontId="50" fillId="11" borderId="39" xfId="0" applyFont="1" applyFill="1" applyBorder="1" applyAlignment="1">
      <alignment horizontal="center" vertical="center" wrapText="1"/>
    </xf>
    <xf numFmtId="0" fontId="52" fillId="11" borderId="29" xfId="0" applyFont="1" applyFill="1" applyBorder="1" applyAlignment="1">
      <alignment horizontal="center" vertical="center"/>
    </xf>
    <xf numFmtId="0" fontId="52" fillId="11" borderId="63" xfId="0" applyFont="1" applyFill="1" applyBorder="1" applyAlignment="1">
      <alignment horizontal="center" vertical="center"/>
    </xf>
    <xf numFmtId="0" fontId="39" fillId="7" borderId="51" xfId="50" applyFont="1" applyFill="1" applyBorder="1" applyAlignment="1">
      <alignment horizontal="center" vertical="center"/>
    </xf>
    <xf numFmtId="0" fontId="39" fillId="7" borderId="39" xfId="50" applyFont="1" applyFill="1" applyBorder="1" applyAlignment="1">
      <alignment horizontal="center" vertical="center"/>
    </xf>
    <xf numFmtId="0" fontId="39" fillId="7" borderId="12" xfId="50" applyFont="1" applyFill="1" applyBorder="1" applyAlignment="1">
      <alignment horizontal="center" vertical="center"/>
    </xf>
    <xf numFmtId="0" fontId="52" fillId="11" borderId="17" xfId="0" applyFont="1" applyFill="1" applyBorder="1" applyAlignment="1">
      <alignment horizontal="center" vertical="center"/>
    </xf>
    <xf numFmtId="0" fontId="52" fillId="11" borderId="18" xfId="0" applyFont="1" applyFill="1" applyBorder="1" applyAlignment="1">
      <alignment horizontal="center" vertical="center"/>
    </xf>
    <xf numFmtId="0" fontId="52" fillId="11" borderId="4" xfId="0" applyFont="1" applyFill="1" applyBorder="1" applyAlignment="1">
      <alignment horizontal="center" vertical="center"/>
    </xf>
    <xf numFmtId="0" fontId="52" fillId="11" borderId="8" xfId="0" applyFont="1" applyFill="1" applyBorder="1" applyAlignment="1">
      <alignment horizontal="center" vertical="center"/>
    </xf>
    <xf numFmtId="0" fontId="52" fillId="11" borderId="7" xfId="0" applyFont="1" applyFill="1" applyBorder="1" applyAlignment="1">
      <alignment horizontal="center" vertical="center"/>
    </xf>
    <xf numFmtId="0" fontId="52" fillId="11" borderId="6" xfId="0" applyFont="1" applyFill="1" applyBorder="1" applyAlignment="1">
      <alignment horizontal="center" vertical="center"/>
    </xf>
    <xf numFmtId="0" fontId="50" fillId="11" borderId="9" xfId="0" applyFont="1" applyFill="1" applyBorder="1" applyAlignment="1">
      <alignment horizontal="center" vertical="center" wrapText="1"/>
    </xf>
    <xf numFmtId="0" fontId="50" fillId="11" borderId="10" xfId="0" applyFont="1" applyFill="1" applyBorder="1" applyAlignment="1">
      <alignment horizontal="center" vertical="center" wrapText="1"/>
    </xf>
    <xf numFmtId="0" fontId="50" fillId="11" borderId="11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wrapText="1"/>
    </xf>
    <xf numFmtId="0" fontId="31" fillId="7" borderId="10" xfId="0" applyFont="1" applyFill="1" applyBorder="1" applyAlignment="1">
      <alignment horizontal="center" wrapText="1"/>
    </xf>
    <xf numFmtId="0" fontId="31" fillId="7" borderId="11" xfId="0" applyFont="1" applyFill="1" applyBorder="1" applyAlignment="1">
      <alignment horizontal="center" wrapText="1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6" fillId="7" borderId="9" xfId="53" applyFont="1" applyFill="1" applyBorder="1" applyAlignment="1">
      <alignment horizontal="center" vertical="center"/>
    </xf>
    <xf numFmtId="0" fontId="36" fillId="7" borderId="10" xfId="53" applyFont="1" applyFill="1" applyBorder="1" applyAlignment="1">
      <alignment horizontal="center" vertical="center"/>
    </xf>
    <xf numFmtId="0" fontId="36" fillId="7" borderId="11" xfId="53" applyFont="1" applyFill="1" applyBorder="1" applyAlignment="1">
      <alignment horizontal="center" vertical="center"/>
    </xf>
    <xf numFmtId="0" fontId="36" fillId="7" borderId="39" xfId="53" applyFont="1" applyFill="1" applyBorder="1" applyAlignment="1">
      <alignment horizontal="center" vertical="center"/>
    </xf>
    <xf numFmtId="0" fontId="36" fillId="7" borderId="12" xfId="53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6" fillId="7" borderId="51" xfId="53" applyFont="1" applyFill="1" applyBorder="1" applyAlignment="1">
      <alignment horizontal="center" vertical="center"/>
    </xf>
    <xf numFmtId="0" fontId="41" fillId="6" borderId="33" xfId="0" applyFont="1" applyFill="1" applyBorder="1" applyAlignment="1">
      <alignment horizontal="center" vertical="center" wrapText="1"/>
    </xf>
    <xf numFmtId="0" fontId="41" fillId="6" borderId="35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wrapText="1"/>
    </xf>
    <xf numFmtId="0" fontId="31" fillId="7" borderId="29" xfId="0" applyFont="1" applyFill="1" applyBorder="1" applyAlignment="1">
      <alignment horizontal="center" wrapText="1"/>
    </xf>
    <xf numFmtId="0" fontId="41" fillId="0" borderId="19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49" fontId="41" fillId="0" borderId="29" xfId="0" applyNumberFormat="1" applyFont="1" applyBorder="1" applyAlignment="1" applyProtection="1">
      <alignment horizontal="center" vertical="center" wrapText="1"/>
      <protection locked="0"/>
    </xf>
    <xf numFmtId="49" fontId="41" fillId="0" borderId="40" xfId="0" applyNumberFormat="1" applyFont="1" applyBorder="1" applyAlignment="1" applyProtection="1">
      <alignment horizontal="center" vertical="center" wrapText="1"/>
      <protection locked="0"/>
    </xf>
    <xf numFmtId="49" fontId="41" fillId="0" borderId="0" xfId="0" applyNumberFormat="1" applyFont="1" applyAlignment="1" applyProtection="1">
      <alignment horizontal="center" vertical="center" wrapText="1"/>
      <protection locked="0"/>
    </xf>
    <xf numFmtId="49" fontId="41" fillId="0" borderId="65" xfId="0" applyNumberFormat="1" applyFont="1" applyBorder="1" applyAlignment="1" applyProtection="1">
      <alignment horizontal="center" vertical="center" wrapText="1"/>
      <protection locked="0"/>
    </xf>
    <xf numFmtId="0" fontId="41" fillId="0" borderId="6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9" fillId="7" borderId="51" xfId="53" applyFont="1" applyFill="1" applyBorder="1" applyAlignment="1">
      <alignment horizontal="center" vertical="center"/>
    </xf>
    <xf numFmtId="0" fontId="29" fillId="7" borderId="39" xfId="53" applyFont="1" applyFill="1" applyBorder="1" applyAlignment="1">
      <alignment horizontal="center" vertical="center"/>
    </xf>
    <xf numFmtId="0" fontId="29" fillId="7" borderId="12" xfId="53" applyFont="1" applyFill="1" applyBorder="1" applyAlignment="1">
      <alignment horizontal="center" vertical="center"/>
    </xf>
    <xf numFmtId="0" fontId="29" fillId="0" borderId="28" xfId="50" applyFont="1" applyBorder="1" applyAlignment="1">
      <alignment horizontal="center" vertical="center"/>
    </xf>
    <xf numFmtId="0" fontId="29" fillId="0" borderId="29" xfId="50" applyFont="1" applyBorder="1" applyAlignment="1">
      <alignment horizontal="center" vertical="center"/>
    </xf>
    <xf numFmtId="0" fontId="29" fillId="0" borderId="40" xfId="50" applyFont="1" applyBorder="1" applyAlignment="1">
      <alignment horizontal="center" vertical="center"/>
    </xf>
    <xf numFmtId="0" fontId="29" fillId="0" borderId="68" xfId="50" applyFont="1" applyBorder="1" applyAlignment="1">
      <alignment horizontal="center" vertical="center"/>
    </xf>
    <xf numFmtId="0" fontId="29" fillId="0" borderId="0" xfId="50" applyFont="1" applyAlignment="1">
      <alignment horizontal="center" vertical="center"/>
    </xf>
    <xf numFmtId="0" fontId="29" fillId="0" borderId="65" xfId="50" applyFont="1" applyBorder="1" applyAlignment="1">
      <alignment horizontal="center" vertical="center"/>
    </xf>
    <xf numFmtId="0" fontId="41" fillId="6" borderId="69" xfId="0" applyFont="1" applyFill="1" applyBorder="1" applyAlignment="1">
      <alignment horizontal="center" vertical="center" wrapText="1"/>
    </xf>
    <xf numFmtId="0" fontId="41" fillId="6" borderId="70" xfId="0" applyFont="1" applyFill="1" applyBorder="1" applyAlignment="1">
      <alignment horizontal="center" vertical="center" wrapText="1"/>
    </xf>
    <xf numFmtId="0" fontId="18" fillId="7" borderId="51" xfId="0" applyFont="1" applyFill="1" applyBorder="1" applyAlignment="1">
      <alignment horizontal="center" wrapText="1"/>
    </xf>
    <xf numFmtId="0" fontId="18" fillId="7" borderId="39" xfId="0" applyFont="1" applyFill="1" applyBorder="1" applyAlignment="1">
      <alignment horizontal="center" wrapText="1"/>
    </xf>
    <xf numFmtId="0" fontId="18" fillId="7" borderId="12" xfId="0" applyFont="1" applyFill="1" applyBorder="1" applyAlignment="1">
      <alignment horizont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/>
    </xf>
    <xf numFmtId="0" fontId="31" fillId="7" borderId="40" xfId="0" applyFont="1" applyFill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9" fillId="0" borderId="28" xfId="50" applyFont="1" applyBorder="1" applyAlignment="1">
      <alignment horizontal="center" vertical="center" wrapText="1"/>
    </xf>
    <xf numFmtId="0" fontId="29" fillId="0" borderId="29" xfId="50" applyFont="1" applyBorder="1" applyAlignment="1">
      <alignment horizontal="center" vertical="center" wrapText="1"/>
    </xf>
    <xf numFmtId="0" fontId="29" fillId="0" borderId="40" xfId="50" applyFont="1" applyBorder="1" applyAlignment="1">
      <alignment horizontal="center" vertical="center" wrapText="1"/>
    </xf>
    <xf numFmtId="0" fontId="29" fillId="0" borderId="68" xfId="50" applyFont="1" applyBorder="1" applyAlignment="1">
      <alignment horizontal="center" vertical="center" wrapText="1"/>
    </xf>
    <xf numFmtId="0" fontId="29" fillId="0" borderId="0" xfId="50" applyFont="1" applyAlignment="1">
      <alignment horizontal="center" vertical="center" wrapText="1"/>
    </xf>
    <xf numFmtId="0" fontId="29" fillId="0" borderId="65" xfId="50" applyFont="1" applyBorder="1" applyAlignment="1">
      <alignment horizontal="center" vertical="center" wrapText="1"/>
    </xf>
    <xf numFmtId="0" fontId="46" fillId="0" borderId="28" xfId="50" applyFont="1" applyBorder="1" applyAlignment="1">
      <alignment horizontal="center" vertical="center" wrapText="1"/>
    </xf>
    <xf numFmtId="0" fontId="46" fillId="0" borderId="40" xfId="50" applyFont="1" applyBorder="1" applyAlignment="1">
      <alignment horizontal="center" vertical="center" wrapText="1"/>
    </xf>
    <xf numFmtId="0" fontId="46" fillId="0" borderId="62" xfId="50" applyFont="1" applyBorder="1" applyAlignment="1">
      <alignment horizontal="center" vertical="center" wrapText="1"/>
    </xf>
    <xf numFmtId="0" fontId="46" fillId="0" borderId="44" xfId="50" applyFont="1" applyBorder="1" applyAlignment="1">
      <alignment horizontal="center" vertical="center" wrapText="1"/>
    </xf>
    <xf numFmtId="0" fontId="41" fillId="6" borderId="68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horizontal="center" vertical="center" wrapText="1"/>
    </xf>
    <xf numFmtId="0" fontId="41" fillId="6" borderId="65" xfId="0" applyFont="1" applyFill="1" applyBorder="1" applyAlignment="1">
      <alignment horizontal="center" vertical="center" wrapText="1"/>
    </xf>
    <xf numFmtId="0" fontId="52" fillId="11" borderId="41" xfId="0" applyFont="1" applyFill="1" applyBorder="1" applyAlignment="1">
      <alignment horizontal="center" vertical="center"/>
    </xf>
    <xf numFmtId="0" fontId="52" fillId="11" borderId="36" xfId="0" applyFont="1" applyFill="1" applyBorder="1" applyAlignment="1">
      <alignment horizontal="center" vertical="center"/>
    </xf>
    <xf numFmtId="0" fontId="50" fillId="11" borderId="13" xfId="0" applyFont="1" applyFill="1" applyBorder="1" applyAlignment="1">
      <alignment horizontal="center" vertical="center" wrapText="1"/>
    </xf>
    <xf numFmtId="0" fontId="39" fillId="7" borderId="51" xfId="0" applyFont="1" applyFill="1" applyBorder="1" applyAlignment="1">
      <alignment horizontal="center" vertical="center" wrapText="1"/>
    </xf>
    <xf numFmtId="0" fontId="39" fillId="7" borderId="39" xfId="0" applyFont="1" applyFill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 wrapText="1"/>
    </xf>
    <xf numFmtId="0" fontId="36" fillId="7" borderId="28" xfId="50" applyFont="1" applyFill="1" applyBorder="1" applyAlignment="1">
      <alignment horizontal="center" vertical="center"/>
    </xf>
    <xf numFmtId="0" fontId="36" fillId="7" borderId="29" xfId="50" applyFont="1" applyFill="1" applyBorder="1" applyAlignment="1">
      <alignment horizontal="center" vertical="center"/>
    </xf>
    <xf numFmtId="0" fontId="36" fillId="7" borderId="40" xfId="5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31" fillId="7" borderId="25" xfId="0" applyFont="1" applyFill="1" applyBorder="1" applyAlignment="1">
      <alignment horizontal="center" wrapText="1"/>
    </xf>
    <xf numFmtId="0" fontId="31" fillId="7" borderId="66" xfId="0" applyFont="1" applyFill="1" applyBorder="1" applyAlignment="1">
      <alignment horizontal="center" wrapText="1"/>
    </xf>
    <xf numFmtId="0" fontId="43" fillId="0" borderId="29" xfId="0" applyFont="1" applyBorder="1" applyAlignment="1">
      <alignment horizontal="left" vertical="top" wrapText="1"/>
    </xf>
    <xf numFmtId="0" fontId="43" fillId="0" borderId="40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65" xfId="0" applyFont="1" applyBorder="1" applyAlignment="1">
      <alignment horizontal="left" vertical="top" wrapText="1"/>
    </xf>
    <xf numFmtId="0" fontId="29" fillId="0" borderId="61" xfId="50" applyFont="1" applyBorder="1" applyAlignment="1">
      <alignment horizontal="center" vertical="center" wrapText="1"/>
    </xf>
    <xf numFmtId="0" fontId="29" fillId="0" borderId="72" xfId="50" applyFont="1" applyBorder="1" applyAlignment="1">
      <alignment horizontal="center" vertical="center" wrapText="1"/>
    </xf>
    <xf numFmtId="0" fontId="29" fillId="0" borderId="8" xfId="50" applyFont="1" applyBorder="1" applyAlignment="1">
      <alignment horizontal="center" vertical="center" wrapText="1"/>
    </xf>
    <xf numFmtId="0" fontId="29" fillId="0" borderId="16" xfId="50" applyFont="1" applyBorder="1" applyAlignment="1">
      <alignment horizontal="center" vertical="center" wrapText="1"/>
    </xf>
    <xf numFmtId="0" fontId="43" fillId="6" borderId="29" xfId="0" applyFont="1" applyFill="1" applyBorder="1" applyAlignment="1">
      <alignment horizontal="left" vertical="top" wrapText="1"/>
    </xf>
    <xf numFmtId="0" fontId="43" fillId="6" borderId="40" xfId="0" applyFont="1" applyFill="1" applyBorder="1" applyAlignment="1">
      <alignment horizontal="left" vertical="top" wrapText="1"/>
    </xf>
    <xf numFmtId="0" fontId="43" fillId="6" borderId="0" xfId="0" applyFont="1" applyFill="1" applyAlignment="1">
      <alignment horizontal="left" vertical="top" wrapText="1"/>
    </xf>
    <xf numFmtId="0" fontId="43" fillId="6" borderId="65" xfId="0" applyFont="1" applyFill="1" applyBorder="1" applyAlignment="1">
      <alignment horizontal="left" vertical="top" wrapText="1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6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65" xfId="0" applyFont="1" applyBorder="1" applyAlignment="1">
      <alignment horizontal="center"/>
    </xf>
    <xf numFmtId="0" fontId="36" fillId="7" borderId="51" xfId="0" applyFont="1" applyFill="1" applyBorder="1" applyAlignment="1">
      <alignment horizontal="center" wrapText="1"/>
    </xf>
    <xf numFmtId="0" fontId="36" fillId="7" borderId="39" xfId="0" applyFont="1" applyFill="1" applyBorder="1" applyAlignment="1">
      <alignment horizont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7" borderId="51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31" fillId="7" borderId="51" xfId="0" applyFont="1" applyFill="1" applyBorder="1" applyAlignment="1">
      <alignment horizontal="center"/>
    </xf>
    <xf numFmtId="0" fontId="31" fillId="7" borderId="39" xfId="0" applyFont="1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6" fillId="7" borderId="38" xfId="0" applyFont="1" applyFill="1" applyBorder="1" applyAlignment="1">
      <alignment horizontal="center" vertical="center" wrapText="1"/>
    </xf>
    <xf numFmtId="0" fontId="36" fillId="7" borderId="28" xfId="0" applyFont="1" applyFill="1" applyBorder="1" applyAlignment="1">
      <alignment horizontal="center" wrapText="1"/>
    </xf>
    <xf numFmtId="0" fontId="36" fillId="7" borderId="29" xfId="0" applyFont="1" applyFill="1" applyBorder="1" applyAlignment="1">
      <alignment horizontal="center" wrapText="1"/>
    </xf>
    <xf numFmtId="0" fontId="36" fillId="7" borderId="40" xfId="0" applyFont="1" applyFill="1" applyBorder="1" applyAlignment="1">
      <alignment horizontal="center" wrapText="1"/>
    </xf>
    <xf numFmtId="2" fontId="39" fillId="7" borderId="39" xfId="0" applyNumberFormat="1" applyFont="1" applyFill="1" applyBorder="1" applyAlignment="1">
      <alignment horizontal="center" vertical="center" wrapText="1"/>
    </xf>
    <xf numFmtId="2" fontId="39" fillId="7" borderId="12" xfId="0" applyNumberFormat="1" applyFont="1" applyFill="1" applyBorder="1" applyAlignment="1">
      <alignment horizontal="center" vertical="center" wrapText="1"/>
    </xf>
    <xf numFmtId="2" fontId="39" fillId="7" borderId="51" xfId="0" applyNumberFormat="1" applyFont="1" applyFill="1" applyBorder="1" applyAlignment="1">
      <alignment horizontal="center" vertical="center" wrapText="1"/>
    </xf>
    <xf numFmtId="0" fontId="29" fillId="0" borderId="6" xfId="50" applyFont="1" applyBorder="1" applyAlignment="1">
      <alignment horizontal="center" vertical="center" wrapText="1"/>
    </xf>
    <xf numFmtId="0" fontId="42" fillId="8" borderId="28" xfId="0" applyFont="1" applyFill="1" applyBorder="1" applyAlignment="1">
      <alignment horizontal="center" vertical="center" wrapText="1"/>
    </xf>
    <xf numFmtId="0" fontId="42" fillId="8" borderId="62" xfId="0" applyFont="1" applyFill="1" applyBorder="1" applyAlignment="1">
      <alignment horizontal="center" vertical="center" wrapText="1"/>
    </xf>
    <xf numFmtId="0" fontId="29" fillId="0" borderId="17" xfId="50" applyFont="1" applyBorder="1" applyAlignment="1">
      <alignment horizontal="center" vertical="center" wrapText="1"/>
    </xf>
    <xf numFmtId="0" fontId="29" fillId="0" borderId="4" xfId="50" applyFont="1" applyBorder="1" applyAlignment="1">
      <alignment horizontal="center" vertical="center" wrapText="1"/>
    </xf>
    <xf numFmtId="0" fontId="27" fillId="0" borderId="6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6" fillId="7" borderId="51" xfId="50" applyFont="1" applyFill="1" applyBorder="1" applyAlignment="1">
      <alignment horizontal="left" vertical="center"/>
    </xf>
    <xf numFmtId="0" fontId="36" fillId="7" borderId="39" xfId="50" applyFont="1" applyFill="1" applyBorder="1" applyAlignment="1">
      <alignment horizontal="left" vertical="center"/>
    </xf>
    <xf numFmtId="0" fontId="36" fillId="7" borderId="12" xfId="50" applyFont="1" applyFill="1" applyBorder="1" applyAlignment="1">
      <alignment horizontal="left" vertical="center"/>
    </xf>
    <xf numFmtId="0" fontId="29" fillId="9" borderId="28" xfId="50" applyFont="1" applyFill="1" applyBorder="1" applyAlignment="1">
      <alignment horizontal="center" vertical="center" wrapText="1"/>
    </xf>
    <xf numFmtId="0" fontId="29" fillId="9" borderId="40" xfId="5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0" borderId="17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7" fillId="0" borderId="8" xfId="50" applyFont="1" applyBorder="1" applyAlignment="1">
      <alignment horizontal="center" vertical="center"/>
    </xf>
    <xf numFmtId="0" fontId="27" fillId="0" borderId="16" xfId="5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9" borderId="51" xfId="0" applyFont="1" applyFill="1" applyBorder="1" applyAlignment="1">
      <alignment horizontal="center"/>
    </xf>
    <xf numFmtId="0" fontId="41" fillId="9" borderId="39" xfId="0" applyFont="1" applyFill="1" applyBorder="1" applyAlignment="1">
      <alignment horizontal="center"/>
    </xf>
    <xf numFmtId="0" fontId="41" fillId="9" borderId="12" xfId="0" applyFont="1" applyFill="1" applyBorder="1" applyAlignment="1">
      <alignment horizontal="center"/>
    </xf>
    <xf numFmtId="0" fontId="41" fillId="0" borderId="4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41" fillId="9" borderId="51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 vertical="center"/>
    </xf>
    <xf numFmtId="0" fontId="41" fillId="9" borderId="12" xfId="0" applyFont="1" applyFill="1" applyBorder="1" applyAlignment="1">
      <alignment horizontal="center" vertical="center"/>
    </xf>
    <xf numFmtId="0" fontId="29" fillId="7" borderId="51" xfId="50" applyFont="1" applyFill="1" applyBorder="1" applyAlignment="1">
      <alignment horizontal="center" vertical="center"/>
    </xf>
    <xf numFmtId="0" fontId="29" fillId="7" borderId="39" xfId="50" applyFont="1" applyFill="1" applyBorder="1" applyAlignment="1">
      <alignment horizontal="center" vertical="center"/>
    </xf>
    <xf numFmtId="0" fontId="29" fillId="7" borderId="12" xfId="5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29" fillId="9" borderId="9" xfId="50" applyFont="1" applyFill="1" applyBorder="1" applyAlignment="1">
      <alignment horizontal="center" vertical="center"/>
    </xf>
    <xf numFmtId="0" fontId="29" fillId="9" borderId="10" xfId="50" applyFont="1" applyFill="1" applyBorder="1" applyAlignment="1">
      <alignment horizontal="center" vertical="center"/>
    </xf>
    <xf numFmtId="0" fontId="29" fillId="9" borderId="28" xfId="50" applyFont="1" applyFill="1" applyBorder="1" applyAlignment="1">
      <alignment horizontal="center" vertical="center"/>
    </xf>
    <xf numFmtId="0" fontId="29" fillId="9" borderId="29" xfId="50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</cellXfs>
  <cellStyles count="101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2 2 2" xfId="4" xr:uid="{00000000-0005-0000-0000-000003000000}"/>
    <cellStyle name="Euro 2 2 3" xfId="5" xr:uid="{00000000-0005-0000-0000-000004000000}"/>
    <cellStyle name="Euro 2 2 3 2" xfId="6" xr:uid="{00000000-0005-0000-0000-000005000000}"/>
    <cellStyle name="Euro 2 3" xfId="7" xr:uid="{00000000-0005-0000-0000-000006000000}"/>
    <cellStyle name="Euro 2 3 2" xfId="8" xr:uid="{00000000-0005-0000-0000-000007000000}"/>
    <cellStyle name="Euro 2 3 2 2" xfId="9" xr:uid="{00000000-0005-0000-0000-000008000000}"/>
    <cellStyle name="Euro 2 3 3" xfId="10" xr:uid="{00000000-0005-0000-0000-000009000000}"/>
    <cellStyle name="Euro 2 4" xfId="11" xr:uid="{00000000-0005-0000-0000-00000A000000}"/>
    <cellStyle name="Euro 2 5" xfId="97" xr:uid="{D467B1AF-FD5D-4E79-8F11-E2C88F125F0F}"/>
    <cellStyle name="Euro 3" xfId="12" xr:uid="{00000000-0005-0000-0000-00000B000000}"/>
    <cellStyle name="Euro 3 2" xfId="13" xr:uid="{00000000-0005-0000-0000-00000C000000}"/>
    <cellStyle name="Euro 3 2 2" xfId="14" xr:uid="{00000000-0005-0000-0000-00000D000000}"/>
    <cellStyle name="Euro 3 2 2 2" xfId="15" xr:uid="{00000000-0005-0000-0000-00000E000000}"/>
    <cellStyle name="Euro 3 2 3" xfId="16" xr:uid="{00000000-0005-0000-0000-00000F000000}"/>
    <cellStyle name="Euro 3 3" xfId="17" xr:uid="{00000000-0005-0000-0000-000010000000}"/>
    <cellStyle name="Euro 3 3 2" xfId="18" xr:uid="{00000000-0005-0000-0000-000011000000}"/>
    <cellStyle name="Euro 3 4" xfId="19" xr:uid="{00000000-0005-0000-0000-000012000000}"/>
    <cellStyle name="Euro 3 4 2" xfId="20" xr:uid="{00000000-0005-0000-0000-000013000000}"/>
    <cellStyle name="Euro 3 5" xfId="21" xr:uid="{00000000-0005-0000-0000-000014000000}"/>
    <cellStyle name="Euro 3 5 2" xfId="22" xr:uid="{00000000-0005-0000-0000-000015000000}"/>
    <cellStyle name="Euro 3 5 2 2" xfId="23" xr:uid="{00000000-0005-0000-0000-000016000000}"/>
    <cellStyle name="Euro 3 5 3" xfId="24" xr:uid="{00000000-0005-0000-0000-000017000000}"/>
    <cellStyle name="Euro 3 5 4" xfId="25" xr:uid="{00000000-0005-0000-0000-000018000000}"/>
    <cellStyle name="Euro 3 5 4 2" xfId="26" xr:uid="{00000000-0005-0000-0000-000019000000}"/>
    <cellStyle name="Euro 3 5 4 3" xfId="27" xr:uid="{00000000-0005-0000-0000-00001A000000}"/>
    <cellStyle name="Euro 3 5 4 4" xfId="28" xr:uid="{00000000-0005-0000-0000-00001B000000}"/>
    <cellStyle name="Euro 3 5 4 4 2" xfId="29" xr:uid="{00000000-0005-0000-0000-00001C000000}"/>
    <cellStyle name="Euro 3 5 4 4 3" xfId="30" xr:uid="{00000000-0005-0000-0000-00001D000000}"/>
    <cellStyle name="Euro 3 5 4 4 3 2" xfId="31" xr:uid="{00000000-0005-0000-0000-00001E000000}"/>
    <cellStyle name="Euro 3 5 4 5" xfId="32" xr:uid="{00000000-0005-0000-0000-00001F000000}"/>
    <cellStyle name="Euro 3 6" xfId="98" xr:uid="{7CD712C5-DB65-4E25-AFC1-847A7B3A6079}"/>
    <cellStyle name="Euro 4" xfId="33" xr:uid="{00000000-0005-0000-0000-000020000000}"/>
    <cellStyle name="Euro 4 2" xfId="34" xr:uid="{00000000-0005-0000-0000-000021000000}"/>
    <cellStyle name="Euro 5" xfId="96" xr:uid="{C84B9736-4855-4F48-8A05-A32B7F1BF933}"/>
    <cellStyle name="Gut" xfId="35" builtinId="26"/>
    <cellStyle name="Gut 2" xfId="36" xr:uid="{00000000-0005-0000-0000-000023000000}"/>
    <cellStyle name="Komma 2" xfId="37" xr:uid="{00000000-0005-0000-0000-000024000000}"/>
    <cellStyle name="Komma 2 2" xfId="38" xr:uid="{00000000-0005-0000-0000-000025000000}"/>
    <cellStyle name="Komma 2 2 2" xfId="100" xr:uid="{029BCF9F-1B79-48B9-BEDC-E0506BAF2A87}"/>
    <cellStyle name="Komma 2 3" xfId="99" xr:uid="{F28FD8E0-623B-4609-9A8C-1AA788979BA8}"/>
    <cellStyle name="Komma 3" xfId="39" xr:uid="{00000000-0005-0000-0000-000026000000}"/>
    <cellStyle name="Komma 3 2" xfId="40" xr:uid="{00000000-0005-0000-0000-000027000000}"/>
    <cellStyle name="Komma 3 2 2" xfId="41" xr:uid="{00000000-0005-0000-0000-000028000000}"/>
    <cellStyle name="Komma 3 3" xfId="42" xr:uid="{00000000-0005-0000-0000-000029000000}"/>
    <cellStyle name="Komma 3 3 2" xfId="43" xr:uid="{00000000-0005-0000-0000-00002A000000}"/>
    <cellStyle name="Komma 3 4" xfId="44" xr:uid="{00000000-0005-0000-0000-00002B000000}"/>
    <cellStyle name="Komma 4" xfId="45" xr:uid="{00000000-0005-0000-0000-00002C000000}"/>
    <cellStyle name="Neutral 2" xfId="46" xr:uid="{00000000-0005-0000-0000-00002D000000}"/>
    <cellStyle name="Prozent 2" xfId="47" xr:uid="{00000000-0005-0000-0000-00002E000000}"/>
    <cellStyle name="Schlecht" xfId="48" builtinId="27"/>
    <cellStyle name="Schlecht 2" xfId="49" xr:uid="{00000000-0005-0000-0000-000030000000}"/>
    <cellStyle name="Standard" xfId="0" builtinId="0"/>
    <cellStyle name="Standard 2" xfId="50" xr:uid="{00000000-0005-0000-0000-000032000000}"/>
    <cellStyle name="Standard 2 2" xfId="51" xr:uid="{00000000-0005-0000-0000-000033000000}"/>
    <cellStyle name="Standard 2 2 2" xfId="52" xr:uid="{00000000-0005-0000-0000-000034000000}"/>
    <cellStyle name="Standard 2 2 2 2" xfId="53" xr:uid="{00000000-0005-0000-0000-000035000000}"/>
    <cellStyle name="Standard 2 2 3" xfId="54" xr:uid="{00000000-0005-0000-0000-000036000000}"/>
    <cellStyle name="Standard 2 2 3 2" xfId="55" xr:uid="{00000000-0005-0000-0000-000037000000}"/>
    <cellStyle name="Standard 2 2 4" xfId="56" xr:uid="{00000000-0005-0000-0000-000038000000}"/>
    <cellStyle name="Standard 2 2 4 2" xfId="57" xr:uid="{00000000-0005-0000-0000-000039000000}"/>
    <cellStyle name="Standard 2 2 4 2 2" xfId="58" xr:uid="{00000000-0005-0000-0000-00003A000000}"/>
    <cellStyle name="Standard 2 2 4 3" xfId="59" xr:uid="{00000000-0005-0000-0000-00003B000000}"/>
    <cellStyle name="Standard 2 2 4 4" xfId="60" xr:uid="{00000000-0005-0000-0000-00003C000000}"/>
    <cellStyle name="Standard 2 2 4 4 2" xfId="61" xr:uid="{00000000-0005-0000-0000-00003D000000}"/>
    <cellStyle name="Standard 2 2 5" xfId="62" xr:uid="{00000000-0005-0000-0000-00003E000000}"/>
    <cellStyle name="Standard 2 2 6" xfId="63" xr:uid="{00000000-0005-0000-0000-00003F000000}"/>
    <cellStyle name="Standard 2 3" xfId="64" xr:uid="{00000000-0005-0000-0000-000040000000}"/>
    <cellStyle name="Standard 2 3 2" xfId="65" xr:uid="{00000000-0005-0000-0000-000041000000}"/>
    <cellStyle name="Standard 3" xfId="66" xr:uid="{00000000-0005-0000-0000-000042000000}"/>
    <cellStyle name="Standard 3 2" xfId="67" xr:uid="{00000000-0005-0000-0000-000043000000}"/>
    <cellStyle name="Standard 3 2 2" xfId="68" xr:uid="{00000000-0005-0000-0000-000044000000}"/>
    <cellStyle name="Standard 3 3" xfId="69" xr:uid="{00000000-0005-0000-0000-000045000000}"/>
    <cellStyle name="Standard 3 3 2" xfId="70" xr:uid="{00000000-0005-0000-0000-000046000000}"/>
    <cellStyle name="Standard 3 3 3" xfId="71" xr:uid="{00000000-0005-0000-0000-000047000000}"/>
    <cellStyle name="Standard 3 4" xfId="72" xr:uid="{00000000-0005-0000-0000-000048000000}"/>
    <cellStyle name="Standard 4" xfId="73" xr:uid="{00000000-0005-0000-0000-000049000000}"/>
    <cellStyle name="Standard 5" xfId="74" xr:uid="{00000000-0005-0000-0000-00004A000000}"/>
    <cellStyle name="Standard 5 2" xfId="75" xr:uid="{00000000-0005-0000-0000-00004B000000}"/>
    <cellStyle name="Standard 5 2 2" xfId="76" xr:uid="{00000000-0005-0000-0000-00004C000000}"/>
    <cellStyle name="Standard 5 2 2 2" xfId="77" xr:uid="{00000000-0005-0000-0000-00004D000000}"/>
    <cellStyle name="Standard 5 2 3" xfId="78" xr:uid="{00000000-0005-0000-0000-00004E000000}"/>
    <cellStyle name="Standard 5 3" xfId="79" xr:uid="{00000000-0005-0000-0000-00004F000000}"/>
    <cellStyle name="Standard 5 3 2" xfId="80" xr:uid="{00000000-0005-0000-0000-000050000000}"/>
    <cellStyle name="Standard 5 4" xfId="81" xr:uid="{00000000-0005-0000-0000-000051000000}"/>
    <cellStyle name="Standard 5 4 2" xfId="82" xr:uid="{00000000-0005-0000-0000-000052000000}"/>
    <cellStyle name="Standard 5 5" xfId="83" xr:uid="{00000000-0005-0000-0000-000053000000}"/>
    <cellStyle name="Standard 5 5 2" xfId="84" xr:uid="{00000000-0005-0000-0000-000054000000}"/>
    <cellStyle name="Standard 5 5 2 2" xfId="85" xr:uid="{00000000-0005-0000-0000-000055000000}"/>
    <cellStyle name="Standard 5 5 3" xfId="86" xr:uid="{00000000-0005-0000-0000-000056000000}"/>
    <cellStyle name="Standard 5 5 4" xfId="87" xr:uid="{00000000-0005-0000-0000-000057000000}"/>
    <cellStyle name="Standard 5 5 4 2" xfId="88" xr:uid="{00000000-0005-0000-0000-000058000000}"/>
    <cellStyle name="Standard 5 5 4 3" xfId="89" xr:uid="{00000000-0005-0000-0000-000059000000}"/>
    <cellStyle name="Standard 5 5 4 4" xfId="90" xr:uid="{00000000-0005-0000-0000-00005A000000}"/>
    <cellStyle name="Standard 5 5 4 4 2" xfId="91" xr:uid="{00000000-0005-0000-0000-00005B000000}"/>
    <cellStyle name="Standard 5 5 4 4 3" xfId="92" xr:uid="{00000000-0005-0000-0000-00005C000000}"/>
    <cellStyle name="Standard 5 5 4 4 3 2" xfId="93" xr:uid="{00000000-0005-0000-0000-00005D000000}"/>
    <cellStyle name="Standard 5 5 4 5" xfId="94" xr:uid="{00000000-0005-0000-0000-00005E000000}"/>
    <cellStyle name="Standard 6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317"/>
  <sheetViews>
    <sheetView showGridLines="0" tabSelected="1" zoomScaleNormal="100" zoomScaleSheetLayoutView="50" workbookViewId="0">
      <pane xSplit="3" topLeftCell="D1" activePane="topRight" state="frozen"/>
      <selection pane="topRight" activeCell="A8" sqref="A8"/>
    </sheetView>
  </sheetViews>
  <sheetFormatPr baseColWidth="10" defaultColWidth="10.77734375" defaultRowHeight="14.4" x14ac:dyDescent="0.3"/>
  <cols>
    <col min="1" max="1" width="65.109375" customWidth="1"/>
    <col min="2" max="3" width="10.77734375" customWidth="1"/>
    <col min="4" max="4" width="20.77734375" customWidth="1"/>
    <col min="5" max="8" width="12.77734375" hidden="1" customWidth="1"/>
    <col min="9" max="125" width="12.77734375" customWidth="1"/>
  </cols>
  <sheetData>
    <row r="1" spans="1:30" s="64" customFormat="1" ht="20.100000000000001" customHeight="1" x14ac:dyDescent="0.35">
      <c r="A1" s="1" t="s">
        <v>438</v>
      </c>
      <c r="B1" s="2"/>
      <c r="C1" s="2"/>
      <c r="D1" s="63"/>
      <c r="E1" s="695"/>
      <c r="F1" s="695"/>
      <c r="G1" s="695"/>
      <c r="H1" s="69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7" customFormat="1" ht="20.100000000000001" customHeight="1" x14ac:dyDescent="0.3">
      <c r="A2" s="38"/>
      <c r="C2" s="67"/>
      <c r="D2" s="67"/>
      <c r="E2" s="696"/>
      <c r="F2" s="696"/>
      <c r="G2" s="696"/>
      <c r="H2" s="696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 spans="1:30" s="64" customFormat="1" ht="20.100000000000001" customHeight="1" x14ac:dyDescent="0.35">
      <c r="A3" s="1" t="s">
        <v>683</v>
      </c>
      <c r="B3" s="2"/>
      <c r="C3" s="65"/>
      <c r="D3" s="65"/>
      <c r="E3" s="695"/>
      <c r="F3" s="695"/>
      <c r="G3" s="695"/>
      <c r="H3" s="69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64" customFormat="1" ht="20.100000000000001" customHeight="1" x14ac:dyDescent="0.35">
      <c r="A4" s="70" t="s">
        <v>684</v>
      </c>
      <c r="B4" s="66"/>
      <c r="C4" s="2"/>
      <c r="D4" s="2"/>
      <c r="E4" s="697"/>
      <c r="F4" s="697"/>
      <c r="G4" s="697"/>
      <c r="H4" s="69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37" customFormat="1" ht="42" customHeight="1" x14ac:dyDescent="0.3">
      <c r="A5" s="694" t="s">
        <v>685</v>
      </c>
      <c r="B5" s="69"/>
      <c r="C5" s="68"/>
      <c r="D5" s="68"/>
      <c r="E5" s="698"/>
      <c r="F5" s="698"/>
      <c r="G5" s="698"/>
      <c r="H5" s="69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</row>
    <row r="6" spans="1:30" s="37" customFormat="1" ht="20.100000000000001" customHeight="1" x14ac:dyDescent="0.3">
      <c r="A6" s="69" t="s">
        <v>2</v>
      </c>
      <c r="B6" s="69"/>
      <c r="C6" s="68"/>
      <c r="D6" s="68"/>
      <c r="E6" s="698"/>
      <c r="F6" s="698"/>
      <c r="G6" s="698"/>
      <c r="H6" s="69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1:30" s="37" customFormat="1" ht="20.100000000000001" customHeight="1" x14ac:dyDescent="0.3">
      <c r="A7" s="69"/>
      <c r="B7" s="69"/>
      <c r="C7" s="68"/>
      <c r="D7" s="68"/>
      <c r="E7" s="698"/>
      <c r="F7" s="698"/>
      <c r="G7" s="698"/>
      <c r="H7" s="69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</row>
    <row r="8" spans="1:30" s="37" customFormat="1" ht="20.100000000000001" customHeight="1" x14ac:dyDescent="0.3">
      <c r="A8" s="69" t="s">
        <v>816</v>
      </c>
      <c r="B8" s="69"/>
      <c r="C8" s="68"/>
      <c r="D8" s="68"/>
      <c r="E8" s="698"/>
      <c r="F8" s="698"/>
      <c r="G8" s="698"/>
      <c r="H8" s="69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</row>
    <row r="9" spans="1:30" s="37" customFormat="1" ht="20.100000000000001" customHeight="1" thickBot="1" x14ac:dyDescent="0.35">
      <c r="A9" s="69"/>
      <c r="B9" s="69"/>
      <c r="C9" s="68"/>
      <c r="D9" s="68"/>
      <c r="E9" s="698"/>
      <c r="F9" s="698"/>
      <c r="G9" s="698"/>
      <c r="H9" s="69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</row>
    <row r="10" spans="1:30" s="37" customFormat="1" ht="16.2" hidden="1" thickBot="1" x14ac:dyDescent="0.35">
      <c r="A10" s="115"/>
      <c r="B10" s="116"/>
      <c r="C10" s="116"/>
      <c r="D10" s="375"/>
      <c r="E10" s="882" t="s">
        <v>114</v>
      </c>
      <c r="F10" s="883"/>
      <c r="G10" s="883"/>
      <c r="H10" s="884"/>
      <c r="I10" s="864"/>
      <c r="J10" s="866"/>
      <c r="K10" s="864"/>
      <c r="L10" s="865"/>
      <c r="M10" s="866"/>
      <c r="N10" s="864"/>
      <c r="O10" s="866"/>
      <c r="U10" s="68"/>
      <c r="V10" s="68"/>
      <c r="W10" s="68"/>
      <c r="X10" s="68"/>
      <c r="Y10" s="68"/>
      <c r="Z10" s="68"/>
      <c r="AA10" s="68"/>
      <c r="AB10" s="68"/>
      <c r="AC10" s="68"/>
      <c r="AD10" s="68"/>
    </row>
    <row r="11" spans="1:30" s="37" customFormat="1" ht="40.049999999999997" hidden="1" customHeight="1" thickBot="1" x14ac:dyDescent="0.35">
      <c r="A11" s="1033">
        <f>COUNTA(I11:BJ11)</f>
        <v>0</v>
      </c>
      <c r="B11" s="1033"/>
      <c r="C11" s="1034"/>
      <c r="D11" s="261" t="s">
        <v>0</v>
      </c>
      <c r="E11" s="110" t="s">
        <v>31</v>
      </c>
      <c r="F11" s="567"/>
      <c r="G11" s="111" t="s">
        <v>57</v>
      </c>
      <c r="H11" s="112" t="s">
        <v>58</v>
      </c>
      <c r="I11" s="152"/>
      <c r="J11" s="148"/>
      <c r="K11" s="136"/>
      <c r="L11" s="154"/>
      <c r="M11" s="153"/>
      <c r="N11" s="134"/>
      <c r="O11" s="135"/>
      <c r="U11" s="68"/>
      <c r="V11" s="68"/>
      <c r="W11" s="68"/>
      <c r="X11" s="68"/>
      <c r="Y11" s="68"/>
      <c r="Z11" s="68"/>
      <c r="AA11" s="68"/>
      <c r="AB11" s="68"/>
      <c r="AC11" s="68"/>
      <c r="AD11" s="68"/>
    </row>
    <row r="12" spans="1:30" s="37" customFormat="1" ht="15" hidden="1" customHeight="1" thickBot="1" x14ac:dyDescent="0.35">
      <c r="A12" s="1035"/>
      <c r="B12" s="1035"/>
      <c r="C12" s="1036"/>
      <c r="D12" s="117" t="s">
        <v>33</v>
      </c>
      <c r="E12" s="1037"/>
      <c r="F12" s="1038"/>
      <c r="G12" s="1038"/>
      <c r="H12" s="1039"/>
      <c r="I12" s="859" t="s">
        <v>29</v>
      </c>
      <c r="J12" s="860"/>
      <c r="K12" s="858" t="s">
        <v>29</v>
      </c>
      <c r="L12" s="859"/>
      <c r="M12" s="860"/>
      <c r="N12" s="859" t="s">
        <v>29</v>
      </c>
      <c r="O12" s="860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 spans="1:30" s="37" customFormat="1" ht="15" hidden="1" customHeight="1" thickBot="1" x14ac:dyDescent="0.35">
      <c r="A13" s="57" t="s">
        <v>54</v>
      </c>
      <c r="B13" s="122" t="s">
        <v>55</v>
      </c>
      <c r="C13" s="62" t="s">
        <v>1</v>
      </c>
      <c r="D13" s="118" t="s">
        <v>32</v>
      </c>
      <c r="E13" s="1040"/>
      <c r="F13" s="1041"/>
      <c r="G13" s="1041"/>
      <c r="H13" s="1042"/>
      <c r="I13" s="862"/>
      <c r="J13" s="863"/>
      <c r="K13" s="861"/>
      <c r="L13" s="862"/>
      <c r="M13" s="863"/>
      <c r="N13" s="862"/>
      <c r="O13" s="863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4" spans="1:30" s="37" customFormat="1" ht="15" hidden="1" customHeight="1" x14ac:dyDescent="0.3">
      <c r="A14" s="45" t="s">
        <v>5</v>
      </c>
      <c r="B14" s="60" t="s">
        <v>21</v>
      </c>
      <c r="C14" s="119" t="s">
        <v>109</v>
      </c>
      <c r="D14" s="123" t="s">
        <v>52</v>
      </c>
      <c r="E14" s="99" t="e">
        <f>AVERAGE(I14:BJ14)</f>
        <v>#DIV/0!</v>
      </c>
      <c r="F14" s="568"/>
      <c r="G14" s="100">
        <f>MIN(I14:BJ14)</f>
        <v>0</v>
      </c>
      <c r="H14" s="376">
        <f>MAX(I14:BJ14)</f>
        <v>0</v>
      </c>
      <c r="I14" s="128"/>
      <c r="J14" s="131"/>
      <c r="K14" s="126"/>
      <c r="L14" s="133"/>
      <c r="M14" s="130"/>
      <c r="N14" s="128"/>
      <c r="O14" s="131"/>
      <c r="U14" s="68"/>
      <c r="V14" s="68"/>
      <c r="W14" s="68"/>
      <c r="X14" s="68"/>
      <c r="Y14" s="68"/>
      <c r="Z14" s="68"/>
      <c r="AA14" s="68"/>
      <c r="AB14" s="68"/>
      <c r="AC14" s="68"/>
      <c r="AD14" s="68"/>
    </row>
    <row r="15" spans="1:30" s="37" customFormat="1" ht="15" hidden="1" customHeight="1" x14ac:dyDescent="0.3">
      <c r="A15" s="49" t="s">
        <v>6</v>
      </c>
      <c r="B15" s="44" t="s">
        <v>22</v>
      </c>
      <c r="C15" s="120" t="s">
        <v>110</v>
      </c>
      <c r="D15" s="124" t="s">
        <v>52</v>
      </c>
      <c r="E15" s="101" t="e">
        <f t="shared" ref="E15:E23" si="0">AVERAGE(I15:BY15)</f>
        <v>#DIV/0!</v>
      </c>
      <c r="F15" s="569"/>
      <c r="G15" s="97">
        <f t="shared" ref="G15:G23" si="1">MIN(I15:BY15)</f>
        <v>0</v>
      </c>
      <c r="H15" s="377">
        <f t="shared" ref="H15:H23" si="2">MAX(I15:BY15)</f>
        <v>0</v>
      </c>
      <c r="I15" s="139"/>
      <c r="J15" s="224"/>
      <c r="K15" s="141"/>
      <c r="L15" s="140"/>
      <c r="M15" s="150"/>
      <c r="N15" s="139"/>
      <c r="O15" s="224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 spans="1:30" s="37" customFormat="1" ht="15" hidden="1" customHeight="1" x14ac:dyDescent="0.3">
      <c r="A16" s="49" t="s">
        <v>64</v>
      </c>
      <c r="B16" s="59" t="s">
        <v>23</v>
      </c>
      <c r="C16" s="120" t="s">
        <v>110</v>
      </c>
      <c r="D16" s="124" t="s">
        <v>61</v>
      </c>
      <c r="E16" s="102" t="e">
        <f t="shared" si="0"/>
        <v>#DIV/0!</v>
      </c>
      <c r="F16" s="570"/>
      <c r="G16" s="98">
        <f t="shared" si="1"/>
        <v>0</v>
      </c>
      <c r="H16" s="378">
        <f t="shared" si="2"/>
        <v>0</v>
      </c>
      <c r="I16" s="241"/>
      <c r="J16" s="81"/>
      <c r="K16" s="219"/>
      <c r="L16" s="79"/>
      <c r="M16" s="218"/>
      <c r="N16" s="107"/>
      <c r="O16" s="220"/>
      <c r="U16" s="68"/>
      <c r="V16" s="68"/>
      <c r="W16" s="68"/>
      <c r="X16" s="68"/>
      <c r="Y16" s="68"/>
      <c r="Z16" s="68"/>
      <c r="AA16" s="68"/>
      <c r="AB16" s="68"/>
      <c r="AC16" s="68"/>
      <c r="AD16" s="68"/>
    </row>
    <row r="17" spans="1:96" s="37" customFormat="1" ht="15" hidden="1" customHeight="1" x14ac:dyDescent="0.3">
      <c r="A17" s="49" t="s">
        <v>3</v>
      </c>
      <c r="B17" s="44" t="s">
        <v>24</v>
      </c>
      <c r="C17" s="120" t="s">
        <v>111</v>
      </c>
      <c r="D17" s="124" t="s">
        <v>52</v>
      </c>
      <c r="E17" s="103" t="e">
        <f t="shared" si="0"/>
        <v>#DIV/0!</v>
      </c>
      <c r="F17" s="571"/>
      <c r="G17" s="96">
        <f t="shared" si="1"/>
        <v>0</v>
      </c>
      <c r="H17" s="379">
        <f t="shared" si="2"/>
        <v>0</v>
      </c>
      <c r="I17" s="28"/>
      <c r="J17" s="221"/>
      <c r="K17" s="132"/>
      <c r="L17" s="144"/>
      <c r="M17" s="149"/>
      <c r="N17" s="147"/>
      <c r="O17" s="145"/>
      <c r="U17" s="68"/>
      <c r="V17" s="68"/>
      <c r="W17" s="68"/>
      <c r="X17" s="68"/>
      <c r="Y17" s="68"/>
      <c r="Z17" s="68"/>
      <c r="AA17" s="68"/>
      <c r="AB17" s="68"/>
      <c r="AC17" s="68"/>
      <c r="AD17" s="68"/>
    </row>
    <row r="18" spans="1:96" s="37" customFormat="1" ht="15" hidden="1" customHeight="1" x14ac:dyDescent="0.3">
      <c r="A18" s="49" t="s">
        <v>4</v>
      </c>
      <c r="B18" s="44" t="s">
        <v>25</v>
      </c>
      <c r="C18" s="120" t="s">
        <v>111</v>
      </c>
      <c r="D18" s="124" t="s">
        <v>52</v>
      </c>
      <c r="E18" s="103" t="e">
        <f t="shared" si="0"/>
        <v>#DIV/0!</v>
      </c>
      <c r="F18" s="571"/>
      <c r="G18" s="96">
        <f t="shared" si="1"/>
        <v>0</v>
      </c>
      <c r="H18" s="379">
        <f t="shared" si="2"/>
        <v>0</v>
      </c>
      <c r="I18" s="27"/>
      <c r="J18" s="221"/>
      <c r="K18" s="143"/>
      <c r="L18" s="137"/>
      <c r="M18" s="151"/>
      <c r="N18" s="142"/>
      <c r="O18" s="138"/>
      <c r="U18" s="68"/>
      <c r="V18" s="68"/>
      <c r="W18" s="68"/>
      <c r="X18" s="68"/>
      <c r="Y18" s="68"/>
      <c r="Z18" s="68"/>
      <c r="AA18" s="68"/>
      <c r="AB18" s="68"/>
      <c r="AC18" s="68"/>
      <c r="AD18" s="68"/>
    </row>
    <row r="19" spans="1:96" s="37" customFormat="1" ht="15" hidden="1" customHeight="1" x14ac:dyDescent="0.3">
      <c r="A19" s="49" t="s">
        <v>59</v>
      </c>
      <c r="B19" s="44" t="s">
        <v>26</v>
      </c>
      <c r="C19" s="120" t="s">
        <v>109</v>
      </c>
      <c r="D19" s="124" t="s">
        <v>52</v>
      </c>
      <c r="E19" s="101" t="e">
        <f t="shared" si="0"/>
        <v>#DIV/0!</v>
      </c>
      <c r="F19" s="569"/>
      <c r="G19" s="97">
        <f t="shared" si="1"/>
        <v>0</v>
      </c>
      <c r="H19" s="377">
        <f t="shared" si="2"/>
        <v>0</v>
      </c>
      <c r="I19" s="28"/>
      <c r="J19" s="146"/>
      <c r="K19" s="141"/>
      <c r="L19" s="140"/>
      <c r="M19" s="149"/>
      <c r="N19" s="139"/>
      <c r="O19" s="145"/>
      <c r="U19" s="68"/>
      <c r="V19" s="68"/>
      <c r="W19" s="68"/>
      <c r="X19" s="68"/>
      <c r="Y19" s="68"/>
      <c r="Z19" s="68"/>
      <c r="AA19" s="68"/>
      <c r="AB19" s="68"/>
      <c r="AC19" s="68"/>
      <c r="AD19" s="68"/>
    </row>
    <row r="20" spans="1:96" s="37" customFormat="1" ht="15" hidden="1" customHeight="1" x14ac:dyDescent="0.3">
      <c r="A20" s="49" t="s">
        <v>51</v>
      </c>
      <c r="B20" s="44" t="s">
        <v>27</v>
      </c>
      <c r="C20" s="120" t="s">
        <v>109</v>
      </c>
      <c r="D20" s="124" t="s">
        <v>52</v>
      </c>
      <c r="E20" s="101" t="e">
        <f t="shared" si="0"/>
        <v>#DIV/0!</v>
      </c>
      <c r="F20" s="569"/>
      <c r="G20" s="97">
        <f t="shared" si="1"/>
        <v>0</v>
      </c>
      <c r="H20" s="377">
        <f t="shared" si="2"/>
        <v>0</v>
      </c>
      <c r="I20" s="106"/>
      <c r="J20" s="146"/>
      <c r="K20" s="132"/>
      <c r="L20" s="144"/>
      <c r="M20" s="149"/>
      <c r="N20" s="147"/>
      <c r="O20" s="145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1:96" s="37" customFormat="1" ht="15" hidden="1" customHeight="1" x14ac:dyDescent="0.3">
      <c r="A21" s="51" t="s">
        <v>60</v>
      </c>
      <c r="B21" s="59" t="s">
        <v>28</v>
      </c>
      <c r="C21" s="120" t="s">
        <v>109</v>
      </c>
      <c r="D21" s="124" t="s">
        <v>52</v>
      </c>
      <c r="E21" s="101" t="e">
        <f t="shared" si="0"/>
        <v>#DIV/0!</v>
      </c>
      <c r="F21" s="569"/>
      <c r="G21" s="97">
        <f t="shared" si="1"/>
        <v>0</v>
      </c>
      <c r="H21" s="377">
        <f t="shared" si="2"/>
        <v>0</v>
      </c>
      <c r="I21" s="16"/>
      <c r="J21" s="19"/>
      <c r="K21" s="129"/>
      <c r="L21" s="17"/>
      <c r="M21" s="242"/>
      <c r="N21" s="16"/>
      <c r="O21" s="19"/>
      <c r="U21" s="68"/>
      <c r="V21" s="68"/>
      <c r="W21" s="68"/>
      <c r="X21" s="68"/>
      <c r="Y21" s="68"/>
      <c r="Z21" s="68"/>
      <c r="AA21" s="68"/>
      <c r="AB21" s="68"/>
      <c r="AC21" s="68"/>
      <c r="AD21" s="68"/>
    </row>
    <row r="22" spans="1:96" s="37" customFormat="1" ht="15" hidden="1" customHeight="1" x14ac:dyDescent="0.3">
      <c r="A22" s="49" t="s">
        <v>17</v>
      </c>
      <c r="B22" s="44" t="s">
        <v>112</v>
      </c>
      <c r="C22" s="120" t="s">
        <v>110</v>
      </c>
      <c r="D22" s="124" t="s">
        <v>174</v>
      </c>
      <c r="E22" s="101" t="e">
        <f t="shared" si="0"/>
        <v>#DIV/0!</v>
      </c>
      <c r="F22" s="569"/>
      <c r="G22" s="97">
        <f t="shared" si="1"/>
        <v>0</v>
      </c>
      <c r="H22" s="377">
        <f t="shared" si="2"/>
        <v>0</v>
      </c>
      <c r="I22" s="139"/>
      <c r="J22" s="224"/>
      <c r="K22" s="141"/>
      <c r="L22" s="140"/>
      <c r="M22" s="150"/>
      <c r="N22" s="139"/>
      <c r="O22" s="224"/>
      <c r="U22" s="68"/>
      <c r="V22" s="68"/>
      <c r="W22" s="68"/>
      <c r="X22" s="68"/>
      <c r="Y22" s="68"/>
      <c r="Z22" s="68"/>
      <c r="AA22" s="68"/>
      <c r="AB22" s="68"/>
      <c r="AC22" s="68"/>
      <c r="AD22" s="68"/>
    </row>
    <row r="23" spans="1:96" s="37" customFormat="1" ht="15" hidden="1" customHeight="1" thickBot="1" x14ac:dyDescent="0.35">
      <c r="A23" s="53" t="s">
        <v>18</v>
      </c>
      <c r="B23" s="61" t="s">
        <v>113</v>
      </c>
      <c r="C23" s="121" t="s">
        <v>110</v>
      </c>
      <c r="D23" s="125" t="s">
        <v>175</v>
      </c>
      <c r="E23" s="104" t="e">
        <f t="shared" si="0"/>
        <v>#DIV/0!</v>
      </c>
      <c r="F23" s="572"/>
      <c r="G23" s="105">
        <f t="shared" si="1"/>
        <v>0</v>
      </c>
      <c r="H23" s="380">
        <f t="shared" si="2"/>
        <v>0</v>
      </c>
      <c r="I23" s="236"/>
      <c r="J23" s="12"/>
      <c r="K23" s="108"/>
      <c r="L23" s="11"/>
      <c r="M23" s="30"/>
      <c r="N23" s="20"/>
      <c r="O23" s="109"/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 spans="1:96" s="37" customFormat="1" ht="25.05" hidden="1" customHeight="1" thickBot="1" x14ac:dyDescent="0.35">
      <c r="A24" s="69"/>
      <c r="B24" s="69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</row>
    <row r="25" spans="1:96" s="37" customFormat="1" ht="16.2" thickBot="1" x14ac:dyDescent="0.35">
      <c r="A25" s="115" t="s">
        <v>279</v>
      </c>
      <c r="B25" s="116"/>
      <c r="C25" s="116"/>
      <c r="D25" s="375" t="s">
        <v>279</v>
      </c>
      <c r="E25" s="882" t="s">
        <v>279</v>
      </c>
      <c r="F25" s="883"/>
      <c r="G25" s="883"/>
      <c r="H25" s="884"/>
      <c r="I25" s="864" t="s">
        <v>279</v>
      </c>
      <c r="J25" s="865"/>
      <c r="K25" s="866"/>
      <c r="L25" s="864" t="s">
        <v>279</v>
      </c>
      <c r="M25" s="865"/>
      <c r="N25" s="865"/>
      <c r="O25" s="865"/>
      <c r="P25" s="865"/>
      <c r="Q25" s="865"/>
      <c r="R25" s="865"/>
      <c r="S25" s="865"/>
      <c r="T25" s="865"/>
      <c r="U25" s="865"/>
      <c r="V25" s="865"/>
      <c r="W25" s="865"/>
      <c r="X25" s="985" t="s">
        <v>279</v>
      </c>
      <c r="Y25" s="986"/>
      <c r="Z25" s="986"/>
      <c r="AA25" s="986"/>
      <c r="AB25" s="986"/>
      <c r="AC25" s="986"/>
      <c r="AD25" s="986"/>
      <c r="AE25" s="986"/>
      <c r="AF25" s="986"/>
      <c r="AG25" s="986"/>
      <c r="AH25" s="986"/>
      <c r="AI25" s="986"/>
      <c r="AJ25" s="986"/>
      <c r="AK25" s="986"/>
      <c r="AL25" s="986"/>
      <c r="AM25" s="986"/>
      <c r="AN25" s="986"/>
      <c r="AO25" s="986"/>
      <c r="AP25" s="987"/>
      <c r="AQ25" s="864" t="s">
        <v>279</v>
      </c>
      <c r="AR25" s="865"/>
      <c r="AS25" s="865"/>
      <c r="AT25" s="865"/>
      <c r="AU25" s="865"/>
      <c r="AV25" s="865"/>
      <c r="AW25" s="865"/>
      <c r="AX25" s="865"/>
      <c r="AY25" s="865"/>
      <c r="AZ25" s="865"/>
      <c r="BA25" s="865"/>
      <c r="BB25" s="865"/>
      <c r="BC25" s="865"/>
      <c r="BD25" s="865"/>
      <c r="BE25" s="865"/>
      <c r="BF25" s="865"/>
      <c r="BG25" s="865"/>
      <c r="BH25" s="865"/>
      <c r="BI25" s="866"/>
      <c r="BJ25" s="864" t="s">
        <v>279</v>
      </c>
      <c r="BK25" s="865"/>
      <c r="BL25" s="865"/>
      <c r="BM25" s="865"/>
      <c r="BN25" s="866"/>
      <c r="BO25" s="1054" t="s">
        <v>279</v>
      </c>
      <c r="BP25" s="1055"/>
      <c r="BQ25" s="1055"/>
      <c r="BR25" s="1055"/>
      <c r="BS25" s="1055"/>
      <c r="BT25" s="1054" t="s">
        <v>279</v>
      </c>
      <c r="BU25" s="1055"/>
      <c r="BV25" s="1055"/>
      <c r="BW25" s="1055"/>
      <c r="BX25" s="1055"/>
      <c r="BY25" s="1055"/>
      <c r="BZ25" s="1055"/>
      <c r="CA25" s="1055"/>
      <c r="CB25" s="1055"/>
      <c r="CC25" s="1056"/>
      <c r="CD25" s="1054" t="s">
        <v>279</v>
      </c>
      <c r="CE25" s="1055"/>
      <c r="CF25" s="1055"/>
      <c r="CG25" s="1055"/>
      <c r="CH25" s="1055"/>
      <c r="CI25" s="1055"/>
      <c r="CJ25" s="1055"/>
      <c r="CK25" s="1055"/>
      <c r="CL25" s="1056"/>
      <c r="CM25" s="909" t="s">
        <v>279</v>
      </c>
      <c r="CN25" s="909"/>
      <c r="CO25" s="909"/>
      <c r="CP25" s="909"/>
      <c r="CQ25" s="909"/>
      <c r="CR25" s="904"/>
    </row>
    <row r="26" spans="1:96" s="7" customFormat="1" ht="40.049999999999997" customHeight="1" thickBot="1" x14ac:dyDescent="0.35">
      <c r="A26" s="1025">
        <f>COUNTA(I26:AD26)</f>
        <v>22</v>
      </c>
      <c r="B26" s="1025"/>
      <c r="C26" s="1026"/>
      <c r="D26" s="261" t="s">
        <v>0</v>
      </c>
      <c r="E26" s="110" t="s">
        <v>31</v>
      </c>
      <c r="F26" s="573" t="s">
        <v>512</v>
      </c>
      <c r="G26" s="111" t="s">
        <v>57</v>
      </c>
      <c r="H26" s="112" t="s">
        <v>58</v>
      </c>
      <c r="I26" s="136" t="s">
        <v>383</v>
      </c>
      <c r="J26" s="252" t="s">
        <v>384</v>
      </c>
      <c r="K26" s="253" t="s">
        <v>385</v>
      </c>
      <c r="L26" s="136" t="s">
        <v>386</v>
      </c>
      <c r="M26" s="252" t="s">
        <v>387</v>
      </c>
      <c r="N26" s="252" t="s">
        <v>388</v>
      </c>
      <c r="O26" s="252" t="s">
        <v>389</v>
      </c>
      <c r="P26" s="252" t="s">
        <v>390</v>
      </c>
      <c r="Q26" s="252" t="s">
        <v>391</v>
      </c>
      <c r="R26" s="252" t="s">
        <v>392</v>
      </c>
      <c r="S26" s="252" t="s">
        <v>393</v>
      </c>
      <c r="T26" s="252" t="s">
        <v>394</v>
      </c>
      <c r="U26" s="252" t="s">
        <v>395</v>
      </c>
      <c r="V26" s="252" t="s">
        <v>396</v>
      </c>
      <c r="W26" s="508" t="s">
        <v>397</v>
      </c>
      <c r="X26" s="136" t="s">
        <v>805</v>
      </c>
      <c r="Y26" s="252" t="s">
        <v>806</v>
      </c>
      <c r="Z26" s="252" t="s">
        <v>807</v>
      </c>
      <c r="AA26" s="252" t="s">
        <v>808</v>
      </c>
      <c r="AB26" s="252" t="s">
        <v>809</v>
      </c>
      <c r="AC26" s="252" t="s">
        <v>810</v>
      </c>
      <c r="AD26" s="252" t="s">
        <v>811</v>
      </c>
      <c r="AE26" s="252" t="s">
        <v>439</v>
      </c>
      <c r="AF26" s="252" t="s">
        <v>440</v>
      </c>
      <c r="AG26" s="252" t="s">
        <v>441</v>
      </c>
      <c r="AH26" s="252" t="s">
        <v>442</v>
      </c>
      <c r="AI26" s="252" t="s">
        <v>535</v>
      </c>
      <c r="AJ26" s="252" t="s">
        <v>536</v>
      </c>
      <c r="AK26" s="252" t="s">
        <v>537</v>
      </c>
      <c r="AL26" s="252" t="s">
        <v>538</v>
      </c>
      <c r="AM26" s="252" t="s">
        <v>539</v>
      </c>
      <c r="AN26" s="252" t="s">
        <v>540</v>
      </c>
      <c r="AO26" s="252" t="s">
        <v>541</v>
      </c>
      <c r="AP26" s="253" t="s">
        <v>542</v>
      </c>
      <c r="AQ26" s="154" t="s">
        <v>404</v>
      </c>
      <c r="AR26" s="252" t="s">
        <v>405</v>
      </c>
      <c r="AS26" s="252" t="s">
        <v>406</v>
      </c>
      <c r="AT26" s="252" t="s">
        <v>407</v>
      </c>
      <c r="AU26" s="252" t="s">
        <v>408</v>
      </c>
      <c r="AV26" s="252" t="s">
        <v>409</v>
      </c>
      <c r="AW26" s="252" t="s">
        <v>410</v>
      </c>
      <c r="AX26" s="252" t="s">
        <v>411</v>
      </c>
      <c r="AY26" s="252" t="s">
        <v>412</v>
      </c>
      <c r="AZ26" s="252" t="s">
        <v>413</v>
      </c>
      <c r="BA26" s="252" t="s">
        <v>414</v>
      </c>
      <c r="BB26" s="252" t="s">
        <v>543</v>
      </c>
      <c r="BC26" s="252" t="s">
        <v>544</v>
      </c>
      <c r="BD26" s="252" t="s">
        <v>545</v>
      </c>
      <c r="BE26" s="252" t="s">
        <v>546</v>
      </c>
      <c r="BF26" s="252" t="s">
        <v>547</v>
      </c>
      <c r="BG26" s="252" t="s">
        <v>548</v>
      </c>
      <c r="BH26" s="252" t="s">
        <v>549</v>
      </c>
      <c r="BI26" s="253" t="s">
        <v>550</v>
      </c>
      <c r="BJ26" s="512" t="s">
        <v>817</v>
      </c>
      <c r="BK26" s="513" t="s">
        <v>415</v>
      </c>
      <c r="BL26" s="513" t="s">
        <v>416</v>
      </c>
      <c r="BM26" s="513" t="s">
        <v>417</v>
      </c>
      <c r="BN26" s="699" t="s">
        <v>418</v>
      </c>
      <c r="BO26" s="512" t="s">
        <v>443</v>
      </c>
      <c r="BP26" s="513" t="s">
        <v>433</v>
      </c>
      <c r="BQ26" s="513" t="s">
        <v>434</v>
      </c>
      <c r="BR26" s="513" t="s">
        <v>659</v>
      </c>
      <c r="BS26" s="699" t="s">
        <v>435</v>
      </c>
      <c r="BT26" s="504" t="s">
        <v>686</v>
      </c>
      <c r="BU26" s="39" t="s">
        <v>687</v>
      </c>
      <c r="BV26" s="39" t="s">
        <v>688</v>
      </c>
      <c r="BW26" s="39" t="s">
        <v>689</v>
      </c>
      <c r="BX26" s="39" t="s">
        <v>690</v>
      </c>
      <c r="BY26" s="39" t="s">
        <v>691</v>
      </c>
      <c r="BZ26" s="39" t="s">
        <v>692</v>
      </c>
      <c r="CA26" s="39" t="s">
        <v>693</v>
      </c>
      <c r="CB26" s="39" t="s">
        <v>812</v>
      </c>
      <c r="CC26" s="148" t="s">
        <v>813</v>
      </c>
      <c r="CD26" s="504" t="s">
        <v>798</v>
      </c>
      <c r="CE26" s="39" t="s">
        <v>799</v>
      </c>
      <c r="CF26" s="39" t="s">
        <v>800</v>
      </c>
      <c r="CG26" s="39" t="s">
        <v>801</v>
      </c>
      <c r="CH26" s="39" t="s">
        <v>802</v>
      </c>
      <c r="CI26" s="39" t="s">
        <v>803</v>
      </c>
      <c r="CJ26" s="39" t="s">
        <v>804</v>
      </c>
      <c r="CK26" s="39" t="s">
        <v>814</v>
      </c>
      <c r="CL26" s="148" t="s">
        <v>815</v>
      </c>
      <c r="CM26" s="709" t="s">
        <v>398</v>
      </c>
      <c r="CN26" s="710" t="s">
        <v>399</v>
      </c>
      <c r="CO26" s="710" t="s">
        <v>400</v>
      </c>
      <c r="CP26" s="710" t="s">
        <v>401</v>
      </c>
      <c r="CQ26" s="710" t="s">
        <v>402</v>
      </c>
      <c r="CR26" s="711" t="s">
        <v>403</v>
      </c>
    </row>
    <row r="27" spans="1:96" s="7" customFormat="1" ht="15" customHeight="1" thickBot="1" x14ac:dyDescent="0.35">
      <c r="A27" s="1027"/>
      <c r="B27" s="1027"/>
      <c r="C27" s="1028"/>
      <c r="D27" s="117" t="s">
        <v>33</v>
      </c>
      <c r="E27" s="971" t="s">
        <v>513</v>
      </c>
      <c r="F27" s="972"/>
      <c r="G27" s="972"/>
      <c r="H27" s="973"/>
      <c r="I27" s="832" t="s">
        <v>29</v>
      </c>
      <c r="J27" s="839"/>
      <c r="K27" s="843"/>
      <c r="L27" s="832" t="s">
        <v>29</v>
      </c>
      <c r="M27" s="839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1019" t="s">
        <v>29</v>
      </c>
      <c r="Y27" s="1020"/>
      <c r="Z27" s="1020"/>
      <c r="AA27" s="1020"/>
      <c r="AB27" s="1020"/>
      <c r="AC27" s="1020"/>
      <c r="AD27" s="1020"/>
      <c r="AE27" s="1020"/>
      <c r="AF27" s="1020"/>
      <c r="AG27" s="1020"/>
      <c r="AH27" s="1020"/>
      <c r="AI27" s="1020"/>
      <c r="AJ27" s="1020"/>
      <c r="AK27" s="1020"/>
      <c r="AL27" s="1020"/>
      <c r="AM27" s="1020"/>
      <c r="AN27" s="1020"/>
      <c r="AO27" s="1020"/>
      <c r="AP27" s="1021"/>
      <c r="AQ27" s="832" t="s">
        <v>419</v>
      </c>
      <c r="AR27" s="839"/>
      <c r="AS27" s="839"/>
      <c r="AT27" s="839"/>
      <c r="AU27" s="839"/>
      <c r="AV27" s="839"/>
      <c r="AW27" s="839"/>
      <c r="AX27" s="839"/>
      <c r="AY27" s="839"/>
      <c r="AZ27" s="839"/>
      <c r="BA27" s="839"/>
      <c r="BB27" s="839"/>
      <c r="BC27" s="839"/>
      <c r="BD27" s="839"/>
      <c r="BE27" s="839"/>
      <c r="BF27" s="839"/>
      <c r="BG27" s="839"/>
      <c r="BH27" s="839"/>
      <c r="BI27" s="843"/>
      <c r="BJ27" s="832" t="s">
        <v>420</v>
      </c>
      <c r="BK27" s="839" t="s">
        <v>420</v>
      </c>
      <c r="BL27" s="839"/>
      <c r="BM27" s="839"/>
      <c r="BN27" s="839"/>
      <c r="BO27" s="832" t="s">
        <v>436</v>
      </c>
      <c r="BP27" s="839"/>
      <c r="BQ27" s="839"/>
      <c r="BR27" s="839"/>
      <c r="BS27" s="839"/>
      <c r="BT27" s="858" t="s">
        <v>179</v>
      </c>
      <c r="BU27" s="859"/>
      <c r="BV27" s="859"/>
      <c r="BW27" s="859"/>
      <c r="BX27" s="859"/>
      <c r="BY27" s="859"/>
      <c r="BZ27" s="859"/>
      <c r="CA27" s="859"/>
      <c r="CB27" s="859"/>
      <c r="CC27" s="860"/>
      <c r="CD27" s="858" t="s">
        <v>29</v>
      </c>
      <c r="CE27" s="859"/>
      <c r="CF27" s="859"/>
      <c r="CG27" s="859"/>
      <c r="CH27" s="859"/>
      <c r="CI27" s="859"/>
      <c r="CJ27" s="859"/>
      <c r="CK27" s="859"/>
      <c r="CL27" s="860"/>
      <c r="CM27" s="910" t="s">
        <v>29</v>
      </c>
      <c r="CN27" s="910"/>
      <c r="CO27" s="910"/>
      <c r="CP27" s="910"/>
      <c r="CQ27" s="910"/>
      <c r="CR27" s="906"/>
    </row>
    <row r="28" spans="1:96" s="7" customFormat="1" ht="15.75" customHeight="1" thickBot="1" x14ac:dyDescent="0.35">
      <c r="A28" s="57" t="s">
        <v>54</v>
      </c>
      <c r="B28" s="122" t="s">
        <v>55</v>
      </c>
      <c r="C28" s="62" t="s">
        <v>1</v>
      </c>
      <c r="D28" s="118" t="s">
        <v>32</v>
      </c>
      <c r="E28" s="971"/>
      <c r="F28" s="972"/>
      <c r="G28" s="972"/>
      <c r="H28" s="973"/>
      <c r="I28" s="962"/>
      <c r="J28" s="963"/>
      <c r="K28" s="964"/>
      <c r="L28" s="834"/>
      <c r="M28" s="840"/>
      <c r="N28" s="840"/>
      <c r="O28" s="840"/>
      <c r="P28" s="840"/>
      <c r="Q28" s="840"/>
      <c r="R28" s="840"/>
      <c r="S28" s="840"/>
      <c r="T28" s="840"/>
      <c r="U28" s="840"/>
      <c r="V28" s="840"/>
      <c r="W28" s="840"/>
      <c r="X28" s="1019"/>
      <c r="Y28" s="1020"/>
      <c r="Z28" s="1020"/>
      <c r="AA28" s="1020"/>
      <c r="AB28" s="1020"/>
      <c r="AC28" s="1020"/>
      <c r="AD28" s="1020"/>
      <c r="AE28" s="1020"/>
      <c r="AF28" s="1020"/>
      <c r="AG28" s="1020"/>
      <c r="AH28" s="1020"/>
      <c r="AI28" s="1020"/>
      <c r="AJ28" s="1020"/>
      <c r="AK28" s="1020"/>
      <c r="AL28" s="1020"/>
      <c r="AM28" s="1020"/>
      <c r="AN28" s="1020"/>
      <c r="AO28" s="1020"/>
      <c r="AP28" s="1021"/>
      <c r="AQ28" s="962"/>
      <c r="AR28" s="963"/>
      <c r="AS28" s="963"/>
      <c r="AT28" s="963"/>
      <c r="AU28" s="963"/>
      <c r="AV28" s="963"/>
      <c r="AW28" s="963"/>
      <c r="AX28" s="963"/>
      <c r="AY28" s="963"/>
      <c r="AZ28" s="963"/>
      <c r="BA28" s="963"/>
      <c r="BB28" s="963"/>
      <c r="BC28" s="963"/>
      <c r="BD28" s="963"/>
      <c r="BE28" s="963"/>
      <c r="BF28" s="963"/>
      <c r="BG28" s="963"/>
      <c r="BH28" s="963"/>
      <c r="BI28" s="964"/>
      <c r="BJ28" s="834"/>
      <c r="BK28" s="840"/>
      <c r="BL28" s="840"/>
      <c r="BM28" s="840"/>
      <c r="BN28" s="840"/>
      <c r="BO28" s="834"/>
      <c r="BP28" s="840"/>
      <c r="BQ28" s="840"/>
      <c r="BR28" s="840"/>
      <c r="BS28" s="840"/>
      <c r="BT28" s="861"/>
      <c r="BU28" s="862"/>
      <c r="BV28" s="862"/>
      <c r="BW28" s="862"/>
      <c r="BX28" s="862"/>
      <c r="BY28" s="862"/>
      <c r="BZ28" s="862"/>
      <c r="CA28" s="862"/>
      <c r="CB28" s="862"/>
      <c r="CC28" s="863"/>
      <c r="CD28" s="861"/>
      <c r="CE28" s="862"/>
      <c r="CF28" s="862"/>
      <c r="CG28" s="862"/>
      <c r="CH28" s="862"/>
      <c r="CI28" s="862"/>
      <c r="CJ28" s="862"/>
      <c r="CK28" s="862"/>
      <c r="CL28" s="863"/>
      <c r="CM28" s="911"/>
      <c r="CN28" s="911"/>
      <c r="CO28" s="911"/>
      <c r="CP28" s="911"/>
      <c r="CQ28" s="911"/>
      <c r="CR28" s="908"/>
    </row>
    <row r="29" spans="1:96" s="7" customFormat="1" ht="15" x14ac:dyDescent="0.3">
      <c r="A29" s="45" t="s">
        <v>5</v>
      </c>
      <c r="B29" s="60" t="s">
        <v>21</v>
      </c>
      <c r="C29" s="119" t="s">
        <v>109</v>
      </c>
      <c r="D29" s="522" t="s">
        <v>52</v>
      </c>
      <c r="E29" s="99">
        <f t="shared" ref="E29:E38" si="3">AVERAGE(I29:AD29)</f>
        <v>48.099999999999994</v>
      </c>
      <c r="F29" s="100">
        <f t="shared" ref="F29:F38" si="4">AVEDEV(I29:AD29)</f>
        <v>22.372727272727275</v>
      </c>
      <c r="G29" s="100">
        <f t="shared" ref="G29:G38" si="5">MIN(I29:AD29)</f>
        <v>7.7</v>
      </c>
      <c r="H29" s="376">
        <f t="shared" ref="H29:H38" si="6">MAX(I29:AD29)</f>
        <v>103</v>
      </c>
      <c r="I29" s="34">
        <v>7.7</v>
      </c>
      <c r="J29" s="35">
        <v>11.2</v>
      </c>
      <c r="K29" s="42">
        <v>14.9</v>
      </c>
      <c r="L29" s="34">
        <v>20</v>
      </c>
      <c r="M29" s="35">
        <v>25</v>
      </c>
      <c r="N29" s="35">
        <v>32</v>
      </c>
      <c r="O29" s="35">
        <v>32.9</v>
      </c>
      <c r="P29" s="35">
        <v>40</v>
      </c>
      <c r="Q29" s="35">
        <v>45</v>
      </c>
      <c r="R29" s="35">
        <v>49.9</v>
      </c>
      <c r="S29" s="35">
        <v>59.9</v>
      </c>
      <c r="T29" s="35">
        <v>69.900000000000006</v>
      </c>
      <c r="U29" s="35">
        <v>79.900000000000006</v>
      </c>
      <c r="V29" s="35">
        <v>99.8</v>
      </c>
      <c r="W29" s="42">
        <v>103</v>
      </c>
      <c r="X29" s="34">
        <v>25.4</v>
      </c>
      <c r="Y29" s="35">
        <v>32</v>
      </c>
      <c r="Z29" s="35">
        <v>45</v>
      </c>
      <c r="AA29" s="35">
        <v>49.9</v>
      </c>
      <c r="AB29" s="35">
        <v>59.9</v>
      </c>
      <c r="AC29" s="35">
        <v>69.900000000000006</v>
      </c>
      <c r="AD29" s="35">
        <v>85</v>
      </c>
      <c r="AE29" s="35">
        <v>99.9</v>
      </c>
      <c r="AF29" s="35">
        <v>109.9</v>
      </c>
      <c r="AG29" s="35">
        <v>119.9</v>
      </c>
      <c r="AH29" s="35">
        <v>129.9</v>
      </c>
      <c r="AI29" s="35">
        <v>139.9</v>
      </c>
      <c r="AJ29" s="35">
        <v>149.9</v>
      </c>
      <c r="AK29" s="35">
        <v>159.9</v>
      </c>
      <c r="AL29" s="35">
        <v>169.9</v>
      </c>
      <c r="AM29" s="35">
        <v>179.9</v>
      </c>
      <c r="AN29" s="35">
        <v>199.9</v>
      </c>
      <c r="AO29" s="35">
        <v>219.9</v>
      </c>
      <c r="AP29" s="43">
        <v>239.9</v>
      </c>
      <c r="AQ29" s="565">
        <v>25.4</v>
      </c>
      <c r="AR29" s="35">
        <v>32</v>
      </c>
      <c r="AS29" s="35">
        <v>45</v>
      </c>
      <c r="AT29" s="35">
        <v>49.9</v>
      </c>
      <c r="AU29" s="35">
        <v>59.9</v>
      </c>
      <c r="AV29" s="35">
        <v>69.900000000000006</v>
      </c>
      <c r="AW29" s="35">
        <v>85</v>
      </c>
      <c r="AX29" s="35">
        <v>99.9</v>
      </c>
      <c r="AY29" s="35">
        <v>109.9</v>
      </c>
      <c r="AZ29" s="35">
        <v>119.9</v>
      </c>
      <c r="BA29" s="35">
        <v>129.9</v>
      </c>
      <c r="BB29" s="35">
        <v>139.9</v>
      </c>
      <c r="BC29" s="35">
        <v>149.9</v>
      </c>
      <c r="BD29" s="35">
        <v>159.9</v>
      </c>
      <c r="BE29" s="35">
        <v>169.9</v>
      </c>
      <c r="BF29" s="35">
        <v>179.9</v>
      </c>
      <c r="BG29" s="35">
        <v>199.9</v>
      </c>
      <c r="BH29" s="35">
        <v>219.9</v>
      </c>
      <c r="BI29" s="43">
        <v>239.9</v>
      </c>
      <c r="BJ29" s="34">
        <v>16</v>
      </c>
      <c r="BK29" s="35">
        <v>20</v>
      </c>
      <c r="BL29" s="35">
        <v>26</v>
      </c>
      <c r="BM29" s="35">
        <v>40</v>
      </c>
      <c r="BN29" s="42">
        <v>49.9</v>
      </c>
      <c r="BO29" s="34">
        <v>249.9</v>
      </c>
      <c r="BP29" s="35">
        <v>333</v>
      </c>
      <c r="BQ29" s="35">
        <v>360</v>
      </c>
      <c r="BR29" s="35">
        <v>463</v>
      </c>
      <c r="BS29" s="42">
        <v>499</v>
      </c>
      <c r="BT29" s="596">
        <v>8</v>
      </c>
      <c r="BU29" s="564">
        <v>10</v>
      </c>
      <c r="BV29" s="564">
        <v>12</v>
      </c>
      <c r="BW29" s="564">
        <v>14</v>
      </c>
      <c r="BX29" s="564">
        <v>16</v>
      </c>
      <c r="BY29" s="564">
        <v>18</v>
      </c>
      <c r="BZ29" s="564">
        <v>20</v>
      </c>
      <c r="CA29" s="564">
        <v>22</v>
      </c>
      <c r="CB29" s="564">
        <v>28</v>
      </c>
      <c r="CC29" s="614">
        <v>36</v>
      </c>
      <c r="CD29" s="596">
        <v>7.2</v>
      </c>
      <c r="CE29" s="564">
        <v>9</v>
      </c>
      <c r="CF29" s="564">
        <v>10.8</v>
      </c>
      <c r="CG29" s="564">
        <v>12.6</v>
      </c>
      <c r="CH29" s="564">
        <v>14.9</v>
      </c>
      <c r="CI29" s="564">
        <v>18</v>
      </c>
      <c r="CJ29" s="564">
        <v>20</v>
      </c>
      <c r="CK29" s="564">
        <v>26</v>
      </c>
      <c r="CL29" s="614">
        <v>32</v>
      </c>
      <c r="CM29" s="743">
        <v>105</v>
      </c>
      <c r="CN29" s="741">
        <v>110</v>
      </c>
      <c r="CO29" s="741">
        <v>140</v>
      </c>
      <c r="CP29" s="741">
        <v>180</v>
      </c>
      <c r="CQ29" s="741">
        <v>199</v>
      </c>
      <c r="CR29" s="742">
        <v>220</v>
      </c>
    </row>
    <row r="30" spans="1:96" s="7" customFormat="1" ht="15" x14ac:dyDescent="0.3">
      <c r="A30" s="49" t="s">
        <v>6</v>
      </c>
      <c r="B30" s="44" t="s">
        <v>22</v>
      </c>
      <c r="C30" s="120" t="s">
        <v>110</v>
      </c>
      <c r="D30" s="523" t="s">
        <v>52</v>
      </c>
      <c r="E30" s="101">
        <f t="shared" si="3"/>
        <v>5.7954545454545472E-3</v>
      </c>
      <c r="F30" s="97">
        <f t="shared" si="4"/>
        <v>2.4586776859504135E-3</v>
      </c>
      <c r="G30" s="97">
        <f t="shared" si="5"/>
        <v>2.8999999999999998E-3</v>
      </c>
      <c r="H30" s="377">
        <f t="shared" si="6"/>
        <v>1.2E-2</v>
      </c>
      <c r="I30" s="139">
        <v>1.2E-2</v>
      </c>
      <c r="J30" s="140">
        <v>0.01</v>
      </c>
      <c r="K30" s="150">
        <v>8.0000000000000002E-3</v>
      </c>
      <c r="L30" s="139">
        <v>6.0000000000000001E-3</v>
      </c>
      <c r="M30" s="140">
        <v>6.0000000000000001E-3</v>
      </c>
      <c r="N30" s="140">
        <v>8.9999999999999993E-3</v>
      </c>
      <c r="O30" s="140">
        <v>4.0000000000000001E-3</v>
      </c>
      <c r="P30" s="140">
        <v>4.0000000000000001E-3</v>
      </c>
      <c r="Q30" s="140">
        <v>4.0000000000000001E-3</v>
      </c>
      <c r="R30" s="140">
        <v>4.0000000000000001E-3</v>
      </c>
      <c r="S30" s="140">
        <v>2.8999999999999998E-3</v>
      </c>
      <c r="T30" s="140">
        <v>2.8999999999999998E-3</v>
      </c>
      <c r="U30" s="140">
        <v>2.8999999999999998E-3</v>
      </c>
      <c r="V30" s="140">
        <v>2.8999999999999998E-3</v>
      </c>
      <c r="W30" s="150">
        <v>2.8999999999999998E-3</v>
      </c>
      <c r="X30" s="139">
        <v>0.01</v>
      </c>
      <c r="Y30" s="140">
        <v>8.0000000000000002E-3</v>
      </c>
      <c r="Z30" s="140">
        <v>8.0000000000000002E-3</v>
      </c>
      <c r="AA30" s="140">
        <v>8.0000000000000002E-3</v>
      </c>
      <c r="AB30" s="140">
        <v>4.0000000000000001E-3</v>
      </c>
      <c r="AC30" s="140">
        <v>4.0000000000000001E-3</v>
      </c>
      <c r="AD30" s="140">
        <v>4.0000000000000001E-3</v>
      </c>
      <c r="AE30" s="140">
        <v>4.0000000000000001E-3</v>
      </c>
      <c r="AF30" s="140">
        <v>4.0000000000000001E-3</v>
      </c>
      <c r="AG30" s="140">
        <v>4.0000000000000001E-3</v>
      </c>
      <c r="AH30" s="140">
        <v>3.0000000000000001E-3</v>
      </c>
      <c r="AI30" s="140">
        <v>3.0000000000000001E-3</v>
      </c>
      <c r="AJ30" s="140">
        <v>3.0000000000000001E-3</v>
      </c>
      <c r="AK30" s="140">
        <v>3.0000000000000001E-3</v>
      </c>
      <c r="AL30" s="140">
        <v>3.0000000000000001E-3</v>
      </c>
      <c r="AM30" s="140">
        <v>2E-3</v>
      </c>
      <c r="AN30" s="140">
        <v>2E-3</v>
      </c>
      <c r="AO30" s="140">
        <v>2E-3</v>
      </c>
      <c r="AP30" s="224">
        <v>2E-3</v>
      </c>
      <c r="AQ30" s="141">
        <v>0.01</v>
      </c>
      <c r="AR30" s="140">
        <v>8.0000000000000002E-3</v>
      </c>
      <c r="AS30" s="140">
        <v>8.0000000000000002E-3</v>
      </c>
      <c r="AT30" s="140">
        <v>8.0000000000000002E-3</v>
      </c>
      <c r="AU30" s="140">
        <v>4.0000000000000001E-3</v>
      </c>
      <c r="AV30" s="140">
        <v>4.0000000000000001E-3</v>
      </c>
      <c r="AW30" s="140">
        <v>4.0000000000000001E-3</v>
      </c>
      <c r="AX30" s="140">
        <v>4.0000000000000001E-3</v>
      </c>
      <c r="AY30" s="140">
        <v>4.0000000000000001E-3</v>
      </c>
      <c r="AZ30" s="140">
        <v>4.0000000000000001E-3</v>
      </c>
      <c r="BA30" s="140">
        <v>3.0000000000000001E-3</v>
      </c>
      <c r="BB30" s="140">
        <v>2E-3</v>
      </c>
      <c r="BC30" s="140">
        <v>2E-3</v>
      </c>
      <c r="BD30" s="140">
        <v>2E-3</v>
      </c>
      <c r="BE30" s="140">
        <v>2E-3</v>
      </c>
      <c r="BF30" s="140">
        <v>2E-3</v>
      </c>
      <c r="BG30" s="140">
        <v>2E-3</v>
      </c>
      <c r="BH30" s="140">
        <v>2E-3</v>
      </c>
      <c r="BI30" s="224">
        <v>2E-3</v>
      </c>
      <c r="BJ30" s="139">
        <v>1.4E-2</v>
      </c>
      <c r="BK30" s="140">
        <v>1.7999999999999999E-2</v>
      </c>
      <c r="BL30" s="140">
        <v>1.6E-2</v>
      </c>
      <c r="BM30" s="140">
        <v>8.0000000000000002E-3</v>
      </c>
      <c r="BN30" s="150">
        <v>8.0000000000000002E-3</v>
      </c>
      <c r="BO30" s="139">
        <v>1.0999999999999999E-2</v>
      </c>
      <c r="BP30" s="140">
        <v>1.2999999999999999E-2</v>
      </c>
      <c r="BQ30" s="140">
        <v>1.2999999999999999E-2</v>
      </c>
      <c r="BR30" s="140">
        <v>0.01</v>
      </c>
      <c r="BS30" s="150">
        <v>0.01</v>
      </c>
      <c r="BT30" s="139">
        <v>7.0000000000000001E-3</v>
      </c>
      <c r="BU30" s="140">
        <v>7.0000000000000001E-3</v>
      </c>
      <c r="BV30" s="140">
        <v>4.0000000000000001E-3</v>
      </c>
      <c r="BW30" s="140">
        <v>4.0000000000000001E-3</v>
      </c>
      <c r="BX30" s="140">
        <v>3.0000000000000001E-3</v>
      </c>
      <c r="BY30" s="140">
        <v>3.0000000000000001E-3</v>
      </c>
      <c r="BZ30" s="140">
        <v>3.0000000000000001E-3</v>
      </c>
      <c r="CA30" s="140">
        <v>3.0000000000000001E-3</v>
      </c>
      <c r="CB30" s="140">
        <v>5.0000000000000001E-3</v>
      </c>
      <c r="CC30" s="224">
        <v>5.0000000000000001E-3</v>
      </c>
      <c r="CD30" s="139">
        <v>0.01</v>
      </c>
      <c r="CE30" s="140">
        <v>0.01</v>
      </c>
      <c r="CF30" s="140">
        <v>8.0000000000000002E-3</v>
      </c>
      <c r="CG30" s="140">
        <v>8.0000000000000002E-3</v>
      </c>
      <c r="CH30" s="140">
        <v>7.0000000000000001E-3</v>
      </c>
      <c r="CI30" s="140">
        <v>7.0000000000000001E-3</v>
      </c>
      <c r="CJ30" s="140">
        <v>7.0000000000000001E-3</v>
      </c>
      <c r="CK30" s="140">
        <v>6.0000000000000001E-3</v>
      </c>
      <c r="CL30" s="224">
        <v>6.0000000000000001E-3</v>
      </c>
      <c r="CM30" s="712">
        <v>3.0000000000000001E-3</v>
      </c>
      <c r="CN30" s="713">
        <v>3.0000000000000001E-3</v>
      </c>
      <c r="CO30" s="713">
        <v>3.0000000000000001E-3</v>
      </c>
      <c r="CP30" s="713">
        <v>3.0000000000000001E-3</v>
      </c>
      <c r="CQ30" s="713">
        <v>3.0000000000000001E-3</v>
      </c>
      <c r="CR30" s="714">
        <v>3.0000000000000001E-3</v>
      </c>
    </row>
    <row r="31" spans="1:96" s="7" customFormat="1" ht="15" x14ac:dyDescent="0.3">
      <c r="A31" s="49" t="s">
        <v>64</v>
      </c>
      <c r="B31" s="59" t="s">
        <v>23</v>
      </c>
      <c r="C31" s="120" t="s">
        <v>110</v>
      </c>
      <c r="D31" s="523" t="s">
        <v>61</v>
      </c>
      <c r="E31" s="102">
        <f t="shared" si="3"/>
        <v>0.29999999999999988</v>
      </c>
      <c r="F31" s="98">
        <f t="shared" si="4"/>
        <v>1.1102230246251565E-16</v>
      </c>
      <c r="G31" s="98">
        <f t="shared" si="5"/>
        <v>0.3</v>
      </c>
      <c r="H31" s="378">
        <f t="shared" si="6"/>
        <v>0.3</v>
      </c>
      <c r="I31" s="107">
        <v>0.3</v>
      </c>
      <c r="J31" s="79">
        <v>0.3</v>
      </c>
      <c r="K31" s="218">
        <v>0.3</v>
      </c>
      <c r="L31" s="107">
        <v>0.3</v>
      </c>
      <c r="M31" s="79">
        <v>0.3</v>
      </c>
      <c r="N31" s="79">
        <v>0.3</v>
      </c>
      <c r="O31" s="79">
        <v>0.3</v>
      </c>
      <c r="P31" s="79">
        <v>0.3</v>
      </c>
      <c r="Q31" s="79">
        <v>0.3</v>
      </c>
      <c r="R31" s="79">
        <v>0.3</v>
      </c>
      <c r="S31" s="79">
        <v>0.3</v>
      </c>
      <c r="T31" s="79">
        <v>0.3</v>
      </c>
      <c r="U31" s="79">
        <v>0.3</v>
      </c>
      <c r="V31" s="79">
        <v>0.3</v>
      </c>
      <c r="W31" s="218">
        <v>0.3</v>
      </c>
      <c r="X31" s="107">
        <v>0.3</v>
      </c>
      <c r="Y31" s="79">
        <v>0.3</v>
      </c>
      <c r="Z31" s="79">
        <v>0.3</v>
      </c>
      <c r="AA31" s="79">
        <v>0.3</v>
      </c>
      <c r="AB31" s="79">
        <v>0.3</v>
      </c>
      <c r="AC31" s="79">
        <v>0.3</v>
      </c>
      <c r="AD31" s="79">
        <v>0.3</v>
      </c>
      <c r="AE31" s="79">
        <v>0.3</v>
      </c>
      <c r="AF31" s="79">
        <v>0.3</v>
      </c>
      <c r="AG31" s="79">
        <v>0.3</v>
      </c>
      <c r="AH31" s="79">
        <v>0.3</v>
      </c>
      <c r="AI31" s="79">
        <v>0.3</v>
      </c>
      <c r="AJ31" s="79">
        <v>0.3</v>
      </c>
      <c r="AK31" s="79">
        <v>0.3</v>
      </c>
      <c r="AL31" s="79">
        <v>0.3</v>
      </c>
      <c r="AM31" s="79">
        <v>0.3</v>
      </c>
      <c r="AN31" s="79">
        <v>0.3</v>
      </c>
      <c r="AO31" s="79">
        <v>0.3</v>
      </c>
      <c r="AP31" s="81">
        <v>0.3</v>
      </c>
      <c r="AQ31" s="219">
        <v>0.3</v>
      </c>
      <c r="AR31" s="79">
        <v>0.3</v>
      </c>
      <c r="AS31" s="79">
        <v>0.3</v>
      </c>
      <c r="AT31" s="79">
        <v>0.3</v>
      </c>
      <c r="AU31" s="79">
        <v>0.3</v>
      </c>
      <c r="AV31" s="79">
        <v>0.3</v>
      </c>
      <c r="AW31" s="79">
        <v>0.3</v>
      </c>
      <c r="AX31" s="79">
        <v>0.3</v>
      </c>
      <c r="AY31" s="79">
        <v>0.3</v>
      </c>
      <c r="AZ31" s="79">
        <v>0.3</v>
      </c>
      <c r="BA31" s="79">
        <v>0.3</v>
      </c>
      <c r="BB31" s="79">
        <v>0.3</v>
      </c>
      <c r="BC31" s="79">
        <v>0.3</v>
      </c>
      <c r="BD31" s="79">
        <v>0.3</v>
      </c>
      <c r="BE31" s="79">
        <v>0.3</v>
      </c>
      <c r="BF31" s="79">
        <v>0.3</v>
      </c>
      <c r="BG31" s="79">
        <v>0.3</v>
      </c>
      <c r="BH31" s="79">
        <v>0.3</v>
      </c>
      <c r="BI31" s="81">
        <v>0.3</v>
      </c>
      <c r="BJ31" s="107">
        <v>0.3</v>
      </c>
      <c r="BK31" s="79">
        <v>0.3</v>
      </c>
      <c r="BL31" s="79">
        <v>0.3</v>
      </c>
      <c r="BM31" s="79">
        <v>0.3</v>
      </c>
      <c r="BN31" s="218">
        <v>0.3</v>
      </c>
      <c r="BO31" s="107">
        <v>0.3</v>
      </c>
      <c r="BP31" s="79">
        <v>0.3</v>
      </c>
      <c r="BQ31" s="79">
        <v>0.3</v>
      </c>
      <c r="BR31" s="79">
        <v>0.3</v>
      </c>
      <c r="BS31" s="218">
        <v>0.3</v>
      </c>
      <c r="BT31" s="107">
        <v>0.3</v>
      </c>
      <c r="BU31" s="79">
        <v>0.3</v>
      </c>
      <c r="BV31" s="79">
        <v>0.3</v>
      </c>
      <c r="BW31" s="79">
        <v>0.3</v>
      </c>
      <c r="BX31" s="79">
        <v>0.3</v>
      </c>
      <c r="BY31" s="79">
        <v>0.3</v>
      </c>
      <c r="BZ31" s="79">
        <v>0.3</v>
      </c>
      <c r="CA31" s="79">
        <v>0.3</v>
      </c>
      <c r="CB31" s="79">
        <v>0.3</v>
      </c>
      <c r="CC31" s="81">
        <v>0.3</v>
      </c>
      <c r="CD31" s="107">
        <v>0.3</v>
      </c>
      <c r="CE31" s="79">
        <v>0.3</v>
      </c>
      <c r="CF31" s="79">
        <v>0.3</v>
      </c>
      <c r="CG31" s="79">
        <v>0.3</v>
      </c>
      <c r="CH31" s="79">
        <v>0.3</v>
      </c>
      <c r="CI31" s="79">
        <v>0.3</v>
      </c>
      <c r="CJ31" s="79">
        <v>0.3</v>
      </c>
      <c r="CK31" s="79">
        <v>0.3</v>
      </c>
      <c r="CL31" s="81">
        <v>0.3</v>
      </c>
      <c r="CM31" s="718">
        <v>0.3</v>
      </c>
      <c r="CN31" s="719">
        <v>0.3</v>
      </c>
      <c r="CO31" s="719">
        <v>0.3</v>
      </c>
      <c r="CP31" s="719">
        <v>0.3</v>
      </c>
      <c r="CQ31" s="719">
        <v>0.3</v>
      </c>
      <c r="CR31" s="720">
        <v>0.3</v>
      </c>
    </row>
    <row r="32" spans="1:96" s="7" customFormat="1" ht="15" x14ac:dyDescent="0.3">
      <c r="A32" s="49" t="s">
        <v>3</v>
      </c>
      <c r="B32" s="44" t="s">
        <v>24</v>
      </c>
      <c r="C32" s="120" t="s">
        <v>111</v>
      </c>
      <c r="D32" s="523" t="s">
        <v>52</v>
      </c>
      <c r="E32" s="103">
        <f t="shared" si="3"/>
        <v>71.881818181818176</v>
      </c>
      <c r="F32" s="96">
        <f t="shared" si="4"/>
        <v>0.5884297520661167</v>
      </c>
      <c r="G32" s="96">
        <f t="shared" si="5"/>
        <v>70.5</v>
      </c>
      <c r="H32" s="379">
        <f t="shared" si="6"/>
        <v>73.599999999999994</v>
      </c>
      <c r="I32" s="147">
        <v>71.2</v>
      </c>
      <c r="J32" s="144">
        <v>70.5</v>
      </c>
      <c r="K32" s="149">
        <v>72</v>
      </c>
      <c r="L32" s="147">
        <v>72.599999999999994</v>
      </c>
      <c r="M32" s="144">
        <v>72.599999999999994</v>
      </c>
      <c r="N32" s="144">
        <v>73.599999999999994</v>
      </c>
      <c r="O32" s="144">
        <v>72.3</v>
      </c>
      <c r="P32" s="144">
        <v>72.3</v>
      </c>
      <c r="Q32" s="144">
        <v>72.3</v>
      </c>
      <c r="R32" s="144">
        <v>72.3</v>
      </c>
      <c r="S32" s="144">
        <v>71</v>
      </c>
      <c r="T32" s="144">
        <v>71</v>
      </c>
      <c r="U32" s="144">
        <v>71</v>
      </c>
      <c r="V32" s="144">
        <v>71</v>
      </c>
      <c r="W32" s="149">
        <v>71</v>
      </c>
      <c r="X32" s="147">
        <v>72.7</v>
      </c>
      <c r="Y32" s="144">
        <v>72.099999999999994</v>
      </c>
      <c r="Z32" s="144">
        <v>72.099999999999994</v>
      </c>
      <c r="AA32" s="144">
        <v>72.099999999999994</v>
      </c>
      <c r="AB32" s="144">
        <v>71.900000000000006</v>
      </c>
      <c r="AC32" s="144">
        <v>71.900000000000006</v>
      </c>
      <c r="AD32" s="144">
        <v>71.900000000000006</v>
      </c>
      <c r="AE32" s="144">
        <v>72.099999999999994</v>
      </c>
      <c r="AF32" s="144">
        <v>72.099999999999994</v>
      </c>
      <c r="AG32" s="144">
        <v>72.099999999999994</v>
      </c>
      <c r="AH32" s="144">
        <v>72.099999999999994</v>
      </c>
      <c r="AI32" s="144">
        <v>72.5</v>
      </c>
      <c r="AJ32" s="144">
        <v>72.5</v>
      </c>
      <c r="AK32" s="144">
        <v>72.5</v>
      </c>
      <c r="AL32" s="144">
        <v>72.5</v>
      </c>
      <c r="AM32" s="144">
        <v>72.5</v>
      </c>
      <c r="AN32" s="144">
        <v>72.5</v>
      </c>
      <c r="AO32" s="144">
        <v>72.5</v>
      </c>
      <c r="AP32" s="146">
        <v>72.5</v>
      </c>
      <c r="AQ32" s="132">
        <v>72.7</v>
      </c>
      <c r="AR32" s="144">
        <v>72.099999999999994</v>
      </c>
      <c r="AS32" s="144">
        <v>72.099999999999994</v>
      </c>
      <c r="AT32" s="144">
        <v>72.099999999999994</v>
      </c>
      <c r="AU32" s="137">
        <v>71.900000000000006</v>
      </c>
      <c r="AV32" s="137">
        <v>71.900000000000006</v>
      </c>
      <c r="AW32" s="137">
        <v>71.900000000000006</v>
      </c>
      <c r="AX32" s="137">
        <v>72.099999999999994</v>
      </c>
      <c r="AY32" s="137">
        <v>72.099999999999994</v>
      </c>
      <c r="AZ32" s="137">
        <v>72.099999999999994</v>
      </c>
      <c r="BA32" s="144">
        <v>72.099999999999994</v>
      </c>
      <c r="BB32" s="144">
        <v>72.5</v>
      </c>
      <c r="BC32" s="144">
        <v>72.5</v>
      </c>
      <c r="BD32" s="144">
        <v>72.5</v>
      </c>
      <c r="BE32" s="144">
        <v>72.5</v>
      </c>
      <c r="BF32" s="144">
        <v>72.5</v>
      </c>
      <c r="BG32" s="144">
        <v>72.5</v>
      </c>
      <c r="BH32" s="144">
        <v>72.5</v>
      </c>
      <c r="BI32" s="146">
        <v>72.5</v>
      </c>
      <c r="BJ32" s="147">
        <v>71.900000000000006</v>
      </c>
      <c r="BK32" s="144">
        <v>71.599999999999994</v>
      </c>
      <c r="BL32" s="144">
        <v>71.8</v>
      </c>
      <c r="BM32" s="144">
        <v>70</v>
      </c>
      <c r="BN32" s="149">
        <v>70</v>
      </c>
      <c r="BO32" s="147">
        <v>76.599999999999994</v>
      </c>
      <c r="BP32" s="144">
        <v>74.900000000000006</v>
      </c>
      <c r="BQ32" s="144">
        <v>74.900000000000006</v>
      </c>
      <c r="BR32" s="144">
        <v>71.5</v>
      </c>
      <c r="BS32" s="149">
        <v>71.5</v>
      </c>
      <c r="BT32" s="147">
        <v>51.7</v>
      </c>
      <c r="BU32" s="144">
        <v>51.7</v>
      </c>
      <c r="BV32" s="144">
        <v>50</v>
      </c>
      <c r="BW32" s="144">
        <v>49.4</v>
      </c>
      <c r="BX32" s="144">
        <v>49.4</v>
      </c>
      <c r="BY32" s="144">
        <v>49.4</v>
      </c>
      <c r="BZ32" s="144">
        <v>49.4</v>
      </c>
      <c r="CA32" s="144">
        <v>49.4</v>
      </c>
      <c r="CB32" s="144">
        <v>50</v>
      </c>
      <c r="CC32" s="146">
        <v>50</v>
      </c>
      <c r="CD32" s="147">
        <v>70.7</v>
      </c>
      <c r="CE32" s="144">
        <v>70.7</v>
      </c>
      <c r="CF32" s="144">
        <v>71.5</v>
      </c>
      <c r="CG32" s="144">
        <v>71.5</v>
      </c>
      <c r="CH32" s="144">
        <v>71.3</v>
      </c>
      <c r="CI32" s="144">
        <v>71.3</v>
      </c>
      <c r="CJ32" s="144">
        <v>71.3</v>
      </c>
      <c r="CK32" s="144">
        <v>72</v>
      </c>
      <c r="CL32" s="146">
        <v>72</v>
      </c>
      <c r="CM32" s="715">
        <v>73.400000000000006</v>
      </c>
      <c r="CN32" s="716">
        <v>73.400000000000006</v>
      </c>
      <c r="CO32" s="716">
        <v>73.400000000000006</v>
      </c>
      <c r="CP32" s="744">
        <v>73</v>
      </c>
      <c r="CQ32" s="744">
        <v>73</v>
      </c>
      <c r="CR32" s="745">
        <v>73</v>
      </c>
    </row>
    <row r="33" spans="1:161" s="7" customFormat="1" ht="15" x14ac:dyDescent="0.3">
      <c r="A33" s="49" t="s">
        <v>4</v>
      </c>
      <c r="B33" s="44" t="s">
        <v>25</v>
      </c>
      <c r="C33" s="120" t="s">
        <v>111</v>
      </c>
      <c r="D33" s="523" t="s">
        <v>52</v>
      </c>
      <c r="E33" s="103">
        <f t="shared" si="3"/>
        <v>72.109090909090924</v>
      </c>
      <c r="F33" s="96">
        <f t="shared" si="4"/>
        <v>0.75702479338843309</v>
      </c>
      <c r="G33" s="96">
        <f t="shared" si="5"/>
        <v>70.900000000000006</v>
      </c>
      <c r="H33" s="379">
        <f t="shared" si="6"/>
        <v>73.400000000000006</v>
      </c>
      <c r="I33" s="142">
        <v>70.900000000000006</v>
      </c>
      <c r="J33" s="137">
        <v>70.900000000000006</v>
      </c>
      <c r="K33" s="151">
        <v>71.8</v>
      </c>
      <c r="L33" s="142">
        <v>73.400000000000006</v>
      </c>
      <c r="M33" s="137">
        <v>73.400000000000006</v>
      </c>
      <c r="N33" s="137">
        <v>73.400000000000006</v>
      </c>
      <c r="O33" s="137">
        <v>72</v>
      </c>
      <c r="P33" s="137">
        <v>72</v>
      </c>
      <c r="Q33" s="137">
        <v>72</v>
      </c>
      <c r="R33" s="137">
        <v>72</v>
      </c>
      <c r="S33" s="137">
        <v>73</v>
      </c>
      <c r="T33" s="137">
        <v>73</v>
      </c>
      <c r="U33" s="137">
        <v>73</v>
      </c>
      <c r="V33" s="137">
        <v>73</v>
      </c>
      <c r="W33" s="151">
        <v>73</v>
      </c>
      <c r="X33" s="142">
        <v>70.900000000000006</v>
      </c>
      <c r="Y33" s="137">
        <v>70.900000000000006</v>
      </c>
      <c r="Z33" s="137">
        <v>70.900000000000006</v>
      </c>
      <c r="AA33" s="137">
        <v>70.900000000000006</v>
      </c>
      <c r="AB33" s="137">
        <v>72</v>
      </c>
      <c r="AC33" s="137">
        <v>72</v>
      </c>
      <c r="AD33" s="137">
        <v>72</v>
      </c>
      <c r="AE33" s="137">
        <v>72.7</v>
      </c>
      <c r="AF33" s="137">
        <v>72.7</v>
      </c>
      <c r="AG33" s="137">
        <v>72.7</v>
      </c>
      <c r="AH33" s="137">
        <v>72.7</v>
      </c>
      <c r="AI33" s="137">
        <v>72.2</v>
      </c>
      <c r="AJ33" s="137">
        <v>72.2</v>
      </c>
      <c r="AK33" s="137">
        <v>72.2</v>
      </c>
      <c r="AL33" s="137">
        <v>72.2</v>
      </c>
      <c r="AM33" s="137">
        <v>72.2</v>
      </c>
      <c r="AN33" s="137">
        <v>72.2</v>
      </c>
      <c r="AO33" s="137">
        <v>72.2</v>
      </c>
      <c r="AP33" s="221">
        <v>72.2</v>
      </c>
      <c r="AQ33" s="143">
        <v>70.900000000000006</v>
      </c>
      <c r="AR33" s="137">
        <v>70.900000000000006</v>
      </c>
      <c r="AS33" s="137">
        <v>70.900000000000006</v>
      </c>
      <c r="AT33" s="137">
        <v>70.900000000000006</v>
      </c>
      <c r="AU33" s="137">
        <v>72</v>
      </c>
      <c r="AV33" s="137">
        <v>72</v>
      </c>
      <c r="AW33" s="137">
        <v>72</v>
      </c>
      <c r="AX33" s="137">
        <v>72.7</v>
      </c>
      <c r="AY33" s="137">
        <v>72.7</v>
      </c>
      <c r="AZ33" s="137">
        <v>72.7</v>
      </c>
      <c r="BA33" s="137">
        <v>72.7</v>
      </c>
      <c r="BB33" s="137">
        <v>72.2</v>
      </c>
      <c r="BC33" s="137">
        <v>72.2</v>
      </c>
      <c r="BD33" s="137">
        <v>72.2</v>
      </c>
      <c r="BE33" s="137">
        <v>72.2</v>
      </c>
      <c r="BF33" s="137">
        <v>72.2</v>
      </c>
      <c r="BG33" s="137">
        <v>72.2</v>
      </c>
      <c r="BH33" s="137">
        <v>72.2</v>
      </c>
      <c r="BI33" s="221">
        <v>72.2</v>
      </c>
      <c r="BJ33" s="142">
        <v>70.7</v>
      </c>
      <c r="BK33" s="137">
        <v>69.5</v>
      </c>
      <c r="BL33" s="137">
        <v>69.8</v>
      </c>
      <c r="BM33" s="137">
        <v>71.5</v>
      </c>
      <c r="BN33" s="151">
        <v>71.5</v>
      </c>
      <c r="BO33" s="142">
        <v>73</v>
      </c>
      <c r="BP33" s="137">
        <v>77.400000000000006</v>
      </c>
      <c r="BQ33" s="137">
        <v>77.400000000000006</v>
      </c>
      <c r="BR33" s="137">
        <v>73</v>
      </c>
      <c r="BS33" s="151">
        <v>73</v>
      </c>
      <c r="BT33" s="142">
        <v>49</v>
      </c>
      <c r="BU33" s="137">
        <v>49</v>
      </c>
      <c r="BV33" s="137">
        <v>48.3</v>
      </c>
      <c r="BW33" s="137">
        <v>49.3</v>
      </c>
      <c r="BX33" s="137">
        <v>49.3</v>
      </c>
      <c r="BY33" s="137">
        <v>49.3</v>
      </c>
      <c r="BZ33" s="137">
        <v>49.3</v>
      </c>
      <c r="CA33" s="137">
        <v>49.3</v>
      </c>
      <c r="CB33" s="137">
        <v>50.8</v>
      </c>
      <c r="CC33" s="221">
        <v>50.8</v>
      </c>
      <c r="CD33" s="142">
        <v>71.7</v>
      </c>
      <c r="CE33" s="137">
        <v>71.7</v>
      </c>
      <c r="CF33" s="137">
        <v>72.8</v>
      </c>
      <c r="CG33" s="137">
        <v>72.8</v>
      </c>
      <c r="CH33" s="137">
        <v>71.7</v>
      </c>
      <c r="CI33" s="137">
        <v>71.7</v>
      </c>
      <c r="CJ33" s="137">
        <v>71.7</v>
      </c>
      <c r="CK33" s="137">
        <v>71.7</v>
      </c>
      <c r="CL33" s="221">
        <v>71.7</v>
      </c>
      <c r="CM33" s="721">
        <v>73.900000000000006</v>
      </c>
      <c r="CN33" s="722">
        <v>73.900000000000006</v>
      </c>
      <c r="CO33" s="722">
        <v>73.900000000000006</v>
      </c>
      <c r="CP33" s="722">
        <v>73</v>
      </c>
      <c r="CQ33" s="722">
        <v>73</v>
      </c>
      <c r="CR33" s="723">
        <v>73</v>
      </c>
    </row>
    <row r="34" spans="1:161" s="7" customFormat="1" ht="15" x14ac:dyDescent="0.3">
      <c r="A34" s="49" t="s">
        <v>59</v>
      </c>
      <c r="B34" s="44" t="s">
        <v>26</v>
      </c>
      <c r="C34" s="120" t="s">
        <v>109</v>
      </c>
      <c r="D34" s="523" t="s">
        <v>52</v>
      </c>
      <c r="E34" s="101">
        <f t="shared" si="3"/>
        <v>0.11372727272727273</v>
      </c>
      <c r="F34" s="97">
        <f t="shared" si="4"/>
        <v>2.7595041322314041E-2</v>
      </c>
      <c r="G34" s="97">
        <f t="shared" si="5"/>
        <v>6.0999999999999999E-2</v>
      </c>
      <c r="H34" s="377">
        <f t="shared" si="6"/>
        <v>0.16200000000000001</v>
      </c>
      <c r="I34" s="147">
        <v>6.0999999999999999E-2</v>
      </c>
      <c r="J34" s="144">
        <v>6.3E-2</v>
      </c>
      <c r="K34" s="149">
        <v>9.5000000000000001E-2</v>
      </c>
      <c r="L34" s="139">
        <v>0.09</v>
      </c>
      <c r="M34" s="144">
        <v>0.10100000000000001</v>
      </c>
      <c r="N34" s="144">
        <v>0.14199999999999999</v>
      </c>
      <c r="O34" s="144">
        <v>0.121</v>
      </c>
      <c r="P34" s="144">
        <v>0.121</v>
      </c>
      <c r="Q34" s="144">
        <v>0.121</v>
      </c>
      <c r="R34" s="144">
        <v>0.121</v>
      </c>
      <c r="S34" s="144">
        <v>0.129</v>
      </c>
      <c r="T34" s="144">
        <v>0.13700000000000001</v>
      </c>
      <c r="U34" s="144">
        <v>0.14599999999999999</v>
      </c>
      <c r="V34" s="144">
        <v>0.16200000000000001</v>
      </c>
      <c r="W34" s="149">
        <v>0.16200000000000001</v>
      </c>
      <c r="X34" s="147">
        <v>6.3E-2</v>
      </c>
      <c r="Y34" s="144">
        <v>7.0999999999999994E-2</v>
      </c>
      <c r="Z34" s="144">
        <v>8.4000000000000005E-2</v>
      </c>
      <c r="AA34" s="144">
        <v>9.1999999999999998E-2</v>
      </c>
      <c r="AB34" s="144">
        <v>0.14000000000000001</v>
      </c>
      <c r="AC34" s="144">
        <v>0.14000000000000001</v>
      </c>
      <c r="AD34" s="144">
        <v>0.14000000000000001</v>
      </c>
      <c r="AE34" s="144">
        <v>0.124</v>
      </c>
      <c r="AF34" s="144">
        <v>0.124</v>
      </c>
      <c r="AG34" s="144">
        <v>0.124</v>
      </c>
      <c r="AH34" s="144">
        <v>0.124</v>
      </c>
      <c r="AI34" s="144">
        <v>0.14899999999999999</v>
      </c>
      <c r="AJ34" s="144">
        <v>0.14899999999999999</v>
      </c>
      <c r="AK34" s="144">
        <v>0.14899999999999999</v>
      </c>
      <c r="AL34" s="144">
        <v>0.14899999999999999</v>
      </c>
      <c r="AM34" s="144">
        <v>0.22700000000000001</v>
      </c>
      <c r="AN34" s="144">
        <v>0.22700000000000001</v>
      </c>
      <c r="AO34" s="144">
        <v>0.22700000000000001</v>
      </c>
      <c r="AP34" s="146">
        <v>0.22700000000000001</v>
      </c>
      <c r="AQ34" s="132">
        <v>6.3E-2</v>
      </c>
      <c r="AR34" s="144">
        <v>7.0999999999999994E-2</v>
      </c>
      <c r="AS34" s="144">
        <v>8.4000000000000005E-2</v>
      </c>
      <c r="AT34" s="144">
        <v>9.1999999999999998E-2</v>
      </c>
      <c r="AU34" s="144">
        <v>0.14000000000000001</v>
      </c>
      <c r="AV34" s="144">
        <v>0.14000000000000001</v>
      </c>
      <c r="AW34" s="144">
        <v>0.14000000000000001</v>
      </c>
      <c r="AX34" s="144">
        <v>0.124</v>
      </c>
      <c r="AY34" s="144">
        <v>0.124</v>
      </c>
      <c r="AZ34" s="144">
        <v>0.124</v>
      </c>
      <c r="BA34" s="144">
        <v>0.124</v>
      </c>
      <c r="BB34" s="144">
        <v>0.14899999999999999</v>
      </c>
      <c r="BC34" s="144">
        <v>0.14899999999999999</v>
      </c>
      <c r="BD34" s="144">
        <v>0.14899999999999999</v>
      </c>
      <c r="BE34" s="144">
        <v>0.14899999999999999</v>
      </c>
      <c r="BF34" s="144">
        <v>0.22700000000000001</v>
      </c>
      <c r="BG34" s="144">
        <v>0.22700000000000001</v>
      </c>
      <c r="BH34" s="144">
        <v>0.22700000000000001</v>
      </c>
      <c r="BI34" s="146">
        <v>0.22700000000000001</v>
      </c>
      <c r="BJ34" s="147">
        <v>4.2999999999999997E-2</v>
      </c>
      <c r="BK34" s="144">
        <v>0.11600000000000001</v>
      </c>
      <c r="BL34" s="144">
        <v>0.11600000000000001</v>
      </c>
      <c r="BM34" s="144">
        <v>0.11600000000000001</v>
      </c>
      <c r="BN34" s="149">
        <v>0.11600000000000001</v>
      </c>
      <c r="BO34" s="147">
        <v>0.89700000000000002</v>
      </c>
      <c r="BP34" s="144">
        <v>1.6719999999999999</v>
      </c>
      <c r="BQ34" s="144">
        <v>1.6719999999999999</v>
      </c>
      <c r="BR34" s="144">
        <v>2.5430000000000001</v>
      </c>
      <c r="BS34" s="149">
        <v>2.5430000000000001</v>
      </c>
      <c r="BT34" s="147">
        <v>4.2999999999999997E-2</v>
      </c>
      <c r="BU34" s="144">
        <v>4.2999999999999997E-2</v>
      </c>
      <c r="BV34" s="144">
        <v>4.2999999999999997E-2</v>
      </c>
      <c r="BW34" s="144">
        <v>4.2999999999999997E-2</v>
      </c>
      <c r="BX34" s="144">
        <v>5.6000000000000001E-2</v>
      </c>
      <c r="BY34" s="144">
        <v>5.6000000000000001E-2</v>
      </c>
      <c r="BZ34" s="144">
        <v>5.6000000000000001E-2</v>
      </c>
      <c r="CA34" s="144">
        <v>5.6000000000000001E-2</v>
      </c>
      <c r="CB34" s="144">
        <v>6.7000000000000004E-2</v>
      </c>
      <c r="CC34" s="146">
        <v>8.1000000000000003E-2</v>
      </c>
      <c r="CD34" s="147">
        <v>3.9E-2</v>
      </c>
      <c r="CE34" s="144">
        <v>3.9E-2</v>
      </c>
      <c r="CF34" s="144">
        <v>3.9E-2</v>
      </c>
      <c r="CG34" s="144">
        <v>3.9E-2</v>
      </c>
      <c r="CH34" s="144">
        <v>4.1000000000000002E-2</v>
      </c>
      <c r="CI34" s="144">
        <v>4.1000000000000002E-2</v>
      </c>
      <c r="CJ34" s="144">
        <v>4.1000000000000002E-2</v>
      </c>
      <c r="CK34" s="144">
        <v>6.0999999999999999E-2</v>
      </c>
      <c r="CL34" s="146">
        <v>6.7000000000000004E-2</v>
      </c>
      <c r="CM34" s="724">
        <v>0.248</v>
      </c>
      <c r="CN34" s="725">
        <v>0.248</v>
      </c>
      <c r="CO34" s="725">
        <v>0.248</v>
      </c>
      <c r="CP34" s="725">
        <v>0.33700000000000002</v>
      </c>
      <c r="CQ34" s="725">
        <v>0.33700000000000002</v>
      </c>
      <c r="CR34" s="726">
        <v>0.33700000000000002</v>
      </c>
    </row>
    <row r="35" spans="1:161" s="7" customFormat="1" ht="15" x14ac:dyDescent="0.3">
      <c r="A35" s="49" t="s">
        <v>51</v>
      </c>
      <c r="B35" s="44" t="s">
        <v>27</v>
      </c>
      <c r="C35" s="120" t="s">
        <v>109</v>
      </c>
      <c r="D35" s="523" t="s">
        <v>52</v>
      </c>
      <c r="E35" s="101">
        <f t="shared" si="3"/>
        <v>5.5772727272727279E-2</v>
      </c>
      <c r="F35" s="97">
        <f t="shared" si="4"/>
        <v>6.198347107438015E-3</v>
      </c>
      <c r="G35" s="97">
        <f t="shared" si="5"/>
        <v>4.3999999999999997E-2</v>
      </c>
      <c r="H35" s="377">
        <f t="shared" si="6"/>
        <v>6.6000000000000003E-2</v>
      </c>
      <c r="I35" s="13">
        <v>4.5999999999999999E-2</v>
      </c>
      <c r="J35" s="144">
        <v>4.5999999999999999E-2</v>
      </c>
      <c r="K35" s="149">
        <v>6.6000000000000003E-2</v>
      </c>
      <c r="L35" s="147">
        <v>5.6000000000000001E-2</v>
      </c>
      <c r="M35" s="144">
        <v>0.06</v>
      </c>
      <c r="N35" s="144">
        <v>0.06</v>
      </c>
      <c r="O35" s="144">
        <v>6.3E-2</v>
      </c>
      <c r="P35" s="144">
        <v>6.3E-2</v>
      </c>
      <c r="Q35" s="144">
        <v>6.3E-2</v>
      </c>
      <c r="R35" s="144">
        <v>6.3E-2</v>
      </c>
      <c r="S35" s="144">
        <v>6.0999999999999999E-2</v>
      </c>
      <c r="T35" s="144">
        <v>5.8999999999999997E-2</v>
      </c>
      <c r="U35" s="144">
        <v>5.8000000000000003E-2</v>
      </c>
      <c r="V35" s="144">
        <v>5.3999999999999999E-2</v>
      </c>
      <c r="W35" s="486">
        <v>5.3999999999999999E-2</v>
      </c>
      <c r="X35" s="16">
        <v>4.3999999999999997E-2</v>
      </c>
      <c r="Y35" s="17">
        <v>4.3999999999999997E-2</v>
      </c>
      <c r="Z35" s="17">
        <v>4.3999999999999997E-2</v>
      </c>
      <c r="AA35" s="17">
        <v>4.5999999999999999E-2</v>
      </c>
      <c r="AB35" s="17">
        <v>5.8999999999999997E-2</v>
      </c>
      <c r="AC35" s="17">
        <v>5.8999999999999997E-2</v>
      </c>
      <c r="AD35" s="17">
        <v>5.8999999999999997E-2</v>
      </c>
      <c r="AE35" s="144">
        <v>4.9000000000000002E-2</v>
      </c>
      <c r="AF35" s="144">
        <v>4.9000000000000002E-2</v>
      </c>
      <c r="AG35" s="144">
        <v>4.9000000000000002E-2</v>
      </c>
      <c r="AH35" s="127">
        <v>4.9000000000000002E-2</v>
      </c>
      <c r="AI35" s="144">
        <v>7.5999999999999998E-2</v>
      </c>
      <c r="AJ35" s="144">
        <v>7.5999999999999998E-2</v>
      </c>
      <c r="AK35" s="144">
        <v>7.5999999999999998E-2</v>
      </c>
      <c r="AL35" s="127">
        <v>7.5999999999999998E-2</v>
      </c>
      <c r="AM35" s="144">
        <v>7.8E-2</v>
      </c>
      <c r="AN35" s="144">
        <v>7.8E-2</v>
      </c>
      <c r="AO35" s="144">
        <v>7.8E-2</v>
      </c>
      <c r="AP35" s="466">
        <v>7.8E-2</v>
      </c>
      <c r="AQ35" s="764">
        <v>4.3999999999999997E-2</v>
      </c>
      <c r="AR35" s="144">
        <v>4.3999999999999997E-2</v>
      </c>
      <c r="AS35" s="144">
        <v>4.3999999999999997E-2</v>
      </c>
      <c r="AT35" s="144">
        <v>4.5999999999999999E-2</v>
      </c>
      <c r="AU35" s="144">
        <v>5.8999999999999997E-2</v>
      </c>
      <c r="AV35" s="144">
        <v>5.8999999999999997E-2</v>
      </c>
      <c r="AW35" s="144">
        <v>5.8999999999999997E-2</v>
      </c>
      <c r="AX35" s="144">
        <v>4.9000000000000002E-2</v>
      </c>
      <c r="AY35" s="144">
        <v>4.9000000000000002E-2</v>
      </c>
      <c r="AZ35" s="144">
        <v>4.9000000000000002E-2</v>
      </c>
      <c r="BA35" s="144">
        <v>4.9000000000000002E-2</v>
      </c>
      <c r="BB35" s="17">
        <v>7.5999999999999998E-2</v>
      </c>
      <c r="BC35" s="144">
        <v>7.5999999999999998E-2</v>
      </c>
      <c r="BD35" s="144">
        <v>7.5999999999999998E-2</v>
      </c>
      <c r="BE35" s="127">
        <v>7.5999999999999998E-2</v>
      </c>
      <c r="BF35" s="17">
        <v>7.8E-2</v>
      </c>
      <c r="BG35" s="140">
        <v>7.8E-2</v>
      </c>
      <c r="BH35" s="140">
        <v>7.8E-2</v>
      </c>
      <c r="BI35" s="146">
        <v>7.8E-2</v>
      </c>
      <c r="BJ35" s="16">
        <v>0.03</v>
      </c>
      <c r="BK35" s="140">
        <v>6.3E-2</v>
      </c>
      <c r="BL35" s="140">
        <v>6.3E-2</v>
      </c>
      <c r="BM35" s="140">
        <v>6.6000000000000003E-2</v>
      </c>
      <c r="BN35" s="149">
        <v>6.7000000000000004E-2</v>
      </c>
      <c r="BO35" s="16">
        <v>0.22</v>
      </c>
      <c r="BP35" s="140">
        <v>0.3</v>
      </c>
      <c r="BQ35" s="140">
        <v>0.3</v>
      </c>
      <c r="BR35" s="140">
        <v>0.248</v>
      </c>
      <c r="BS35" s="149">
        <v>0.248</v>
      </c>
      <c r="BT35" s="16">
        <v>2.8000000000000001E-2</v>
      </c>
      <c r="BU35" s="17">
        <v>2.8000000000000001E-2</v>
      </c>
      <c r="BV35" s="17">
        <v>2.8000000000000001E-2</v>
      </c>
      <c r="BW35" s="17">
        <v>2.8000000000000001E-2</v>
      </c>
      <c r="BX35" s="17">
        <v>2.8000000000000001E-2</v>
      </c>
      <c r="BY35" s="17">
        <v>2.8000000000000001E-2</v>
      </c>
      <c r="BZ35" s="17">
        <v>2.8000000000000001E-2</v>
      </c>
      <c r="CA35" s="17">
        <v>2.8000000000000001E-2</v>
      </c>
      <c r="CB35" s="17">
        <v>4.2000000000000003E-2</v>
      </c>
      <c r="CC35" s="19">
        <v>6.0999999999999999E-2</v>
      </c>
      <c r="CD35" s="16">
        <v>2.4E-2</v>
      </c>
      <c r="CE35" s="17">
        <v>2.4E-2</v>
      </c>
      <c r="CF35" s="17">
        <v>2.4E-2</v>
      </c>
      <c r="CG35" s="17">
        <v>2.4E-2</v>
      </c>
      <c r="CH35" s="17">
        <v>2.4E-2</v>
      </c>
      <c r="CI35" s="17">
        <v>2.4E-2</v>
      </c>
      <c r="CJ35" s="17">
        <v>2.4E-2</v>
      </c>
      <c r="CK35" s="17">
        <v>4.3999999999999997E-2</v>
      </c>
      <c r="CL35" s="19">
        <v>0.05</v>
      </c>
      <c r="CM35" s="712">
        <v>0.108</v>
      </c>
      <c r="CN35" s="713">
        <v>0.108</v>
      </c>
      <c r="CO35" s="713">
        <v>0.108</v>
      </c>
      <c r="CP35" s="713">
        <v>0.122</v>
      </c>
      <c r="CQ35" s="713">
        <v>0.122</v>
      </c>
      <c r="CR35" s="714">
        <v>0.122</v>
      </c>
    </row>
    <row r="36" spans="1:161" s="7" customFormat="1" ht="15" x14ac:dyDescent="0.3">
      <c r="A36" s="51" t="s">
        <v>60</v>
      </c>
      <c r="B36" s="59" t="s">
        <v>28</v>
      </c>
      <c r="C36" s="120" t="s">
        <v>109</v>
      </c>
      <c r="D36" s="523" t="s">
        <v>52</v>
      </c>
      <c r="E36" s="101">
        <f t="shared" si="3"/>
        <v>1.1831818181818186E-2</v>
      </c>
      <c r="F36" s="97">
        <f t="shared" si="4"/>
        <v>1.1772727272727273E-3</v>
      </c>
      <c r="G36" s="97">
        <f t="shared" si="5"/>
        <v>0.01</v>
      </c>
      <c r="H36" s="377">
        <f t="shared" si="6"/>
        <v>1.4999999999999999E-2</v>
      </c>
      <c r="I36" s="16">
        <v>1.1599999999999999E-2</v>
      </c>
      <c r="J36" s="17">
        <v>1.1599999999999999E-2</v>
      </c>
      <c r="K36" s="242">
        <v>1.23E-2</v>
      </c>
      <c r="L36" s="16">
        <v>1.26E-2</v>
      </c>
      <c r="M36" s="17">
        <v>1.26E-2</v>
      </c>
      <c r="N36" s="127">
        <v>1.26E-2</v>
      </c>
      <c r="O36" s="127">
        <v>1.0999999999999999E-2</v>
      </c>
      <c r="P36" s="17">
        <v>1.0999999999999999E-2</v>
      </c>
      <c r="Q36" s="17">
        <v>1.0999999999999999E-2</v>
      </c>
      <c r="R36" s="17">
        <v>1.0999999999999999E-2</v>
      </c>
      <c r="S36" s="17">
        <v>0.01</v>
      </c>
      <c r="T36" s="17">
        <v>0.01</v>
      </c>
      <c r="U36" s="127">
        <v>0.01</v>
      </c>
      <c r="V36" s="127">
        <v>0.01</v>
      </c>
      <c r="W36" s="242">
        <v>0.01</v>
      </c>
      <c r="X36" s="16">
        <v>1.2E-2</v>
      </c>
      <c r="Y36" s="17">
        <v>1.2E-2</v>
      </c>
      <c r="Z36" s="17">
        <v>1.2E-2</v>
      </c>
      <c r="AA36" s="17">
        <v>1.2E-2</v>
      </c>
      <c r="AB36" s="17">
        <v>1.4999999999999999E-2</v>
      </c>
      <c r="AC36" s="17">
        <v>1.4999999999999999E-2</v>
      </c>
      <c r="AD36" s="17">
        <v>1.4999999999999999E-2</v>
      </c>
      <c r="AE36" s="17">
        <v>1.2999999999999999E-2</v>
      </c>
      <c r="AF36" s="17">
        <v>1.2999999999999999E-2</v>
      </c>
      <c r="AG36" s="17">
        <v>1.2999999999999999E-2</v>
      </c>
      <c r="AH36" s="17">
        <v>1.2999999999999999E-2</v>
      </c>
      <c r="AI36" s="17">
        <v>1.4999999999999999E-2</v>
      </c>
      <c r="AJ36" s="17">
        <v>1.4999999999999999E-2</v>
      </c>
      <c r="AK36" s="17">
        <v>1.4999999999999999E-2</v>
      </c>
      <c r="AL36" s="17">
        <v>1.4999999999999999E-2</v>
      </c>
      <c r="AM36" s="17">
        <v>1.7000000000000001E-2</v>
      </c>
      <c r="AN36" s="17">
        <v>1.7000000000000001E-2</v>
      </c>
      <c r="AO36" s="17">
        <v>1.7000000000000001E-2</v>
      </c>
      <c r="AP36" s="19">
        <v>1.7000000000000001E-2</v>
      </c>
      <c r="AQ36" s="129">
        <v>1.2E-2</v>
      </c>
      <c r="AR36" s="17">
        <v>1.2E-2</v>
      </c>
      <c r="AS36" s="17">
        <v>1.2E-2</v>
      </c>
      <c r="AT36" s="17">
        <v>1.2E-2</v>
      </c>
      <c r="AU36" s="17">
        <v>1.4999999999999999E-2</v>
      </c>
      <c r="AV36" s="127">
        <v>1.4999999999999999E-2</v>
      </c>
      <c r="AW36" s="127">
        <v>1.4999999999999999E-2</v>
      </c>
      <c r="AX36" s="127">
        <v>1.2999999999999999E-2</v>
      </c>
      <c r="AY36" s="127">
        <v>1.2999999999999999E-2</v>
      </c>
      <c r="AZ36" s="127">
        <v>1.2999999999999999E-2</v>
      </c>
      <c r="BA36" s="127">
        <v>1.2999999999999999E-2</v>
      </c>
      <c r="BB36" s="17">
        <v>1.4999999999999999E-2</v>
      </c>
      <c r="BC36" s="17">
        <v>1.4999999999999999E-2</v>
      </c>
      <c r="BD36" s="17">
        <v>1.4999999999999999E-2</v>
      </c>
      <c r="BE36" s="17">
        <v>1.4999999999999999E-2</v>
      </c>
      <c r="BF36" s="17">
        <v>1.7000000000000001E-2</v>
      </c>
      <c r="BG36" s="17">
        <v>1.7000000000000001E-2</v>
      </c>
      <c r="BH36" s="17">
        <v>1.7000000000000001E-2</v>
      </c>
      <c r="BI36" s="19">
        <v>1.7000000000000001E-2</v>
      </c>
      <c r="BJ36" s="16">
        <v>7.0000000000000001E-3</v>
      </c>
      <c r="BK36" s="17">
        <v>1.1599999999999999E-2</v>
      </c>
      <c r="BL36" s="17">
        <v>1.1599999999999999E-2</v>
      </c>
      <c r="BM36" s="17">
        <v>1.1599999999999999E-2</v>
      </c>
      <c r="BN36" s="242">
        <v>1.1599999999999999E-2</v>
      </c>
      <c r="BO36" s="16">
        <v>1.9E-2</v>
      </c>
      <c r="BP36" s="17">
        <v>0.01</v>
      </c>
      <c r="BQ36" s="17">
        <v>0.01</v>
      </c>
      <c r="BR36" s="17">
        <v>4.4999999999999998E-2</v>
      </c>
      <c r="BS36" s="242">
        <v>4.4999999999999998E-2</v>
      </c>
      <c r="BT36" s="16">
        <v>7.0000000000000001E-3</v>
      </c>
      <c r="BU36" s="17">
        <v>7.0000000000000001E-3</v>
      </c>
      <c r="BV36" s="17">
        <v>7.0000000000000001E-3</v>
      </c>
      <c r="BW36" s="17">
        <v>7.0000000000000001E-3</v>
      </c>
      <c r="BX36" s="17">
        <v>7.0000000000000001E-3</v>
      </c>
      <c r="BY36" s="17">
        <v>7.0000000000000001E-3</v>
      </c>
      <c r="BZ36" s="17">
        <v>7.0000000000000001E-3</v>
      </c>
      <c r="CA36" s="17">
        <v>7.0000000000000001E-3</v>
      </c>
      <c r="CB36" s="17">
        <v>8.0000000000000002E-3</v>
      </c>
      <c r="CC36" s="19">
        <v>8.0000000000000002E-3</v>
      </c>
      <c r="CD36" s="16">
        <v>7.0000000000000001E-3</v>
      </c>
      <c r="CE36" s="17">
        <v>7.0000000000000001E-3</v>
      </c>
      <c r="CF36" s="17">
        <v>7.0000000000000001E-3</v>
      </c>
      <c r="CG36" s="17">
        <v>7.0000000000000001E-3</v>
      </c>
      <c r="CH36" s="17">
        <v>7.0000000000000001E-3</v>
      </c>
      <c r="CI36" s="17">
        <v>7.0000000000000001E-3</v>
      </c>
      <c r="CJ36" s="17">
        <v>7.0000000000000001E-3</v>
      </c>
      <c r="CK36" s="17">
        <v>7.0000000000000001E-3</v>
      </c>
      <c r="CL36" s="19">
        <v>7.0000000000000001E-3</v>
      </c>
      <c r="CM36" s="712">
        <v>0.01</v>
      </c>
      <c r="CN36" s="713">
        <v>0.01</v>
      </c>
      <c r="CO36" s="713">
        <v>0.01</v>
      </c>
      <c r="CP36" s="713">
        <v>0.01</v>
      </c>
      <c r="CQ36" s="713">
        <v>0.01</v>
      </c>
      <c r="CR36" s="714">
        <v>0.01</v>
      </c>
    </row>
    <row r="37" spans="1:161" s="7" customFormat="1" ht="15" x14ac:dyDescent="0.3">
      <c r="A37" s="49" t="s">
        <v>17</v>
      </c>
      <c r="B37" s="44" t="s">
        <v>101</v>
      </c>
      <c r="C37" s="120" t="s">
        <v>110</v>
      </c>
      <c r="D37" s="523" t="s">
        <v>52</v>
      </c>
      <c r="E37" s="101">
        <f t="shared" si="3"/>
        <v>0.93440909090909063</v>
      </c>
      <c r="F37" s="97">
        <f t="shared" si="4"/>
        <v>6.6280991735536646E-3</v>
      </c>
      <c r="G37" s="97">
        <f t="shared" si="5"/>
        <v>0.91800000000000004</v>
      </c>
      <c r="H37" s="377">
        <f t="shared" si="6"/>
        <v>0.95199999999999996</v>
      </c>
      <c r="I37" s="139">
        <v>0.93400000000000005</v>
      </c>
      <c r="J37" s="140">
        <v>0.92500000000000004</v>
      </c>
      <c r="K37" s="150">
        <v>0.93500000000000005</v>
      </c>
      <c r="L37" s="139">
        <v>0.94399999999999995</v>
      </c>
      <c r="M37" s="140">
        <v>0.95199999999999996</v>
      </c>
      <c r="N37" s="140">
        <v>0.94499999999999995</v>
      </c>
      <c r="O37" s="140">
        <v>0.94399999999999995</v>
      </c>
      <c r="P37" s="140">
        <v>0.93300000000000005</v>
      </c>
      <c r="Q37" s="140">
        <v>0.92500000000000004</v>
      </c>
      <c r="R37" s="140">
        <v>0.91800000000000004</v>
      </c>
      <c r="S37" s="140">
        <v>0.92100000000000004</v>
      </c>
      <c r="T37" s="140">
        <v>0.92400000000000004</v>
      </c>
      <c r="U37" s="140">
        <v>0.92800000000000005</v>
      </c>
      <c r="V37" s="140">
        <v>0.93400000000000005</v>
      </c>
      <c r="W37" s="150">
        <v>0.93400000000000005</v>
      </c>
      <c r="X37" s="147">
        <v>0.94599999999999995</v>
      </c>
      <c r="Y37" s="144">
        <v>0.94299999999999995</v>
      </c>
      <c r="Z37" s="144">
        <v>0.93700000000000006</v>
      </c>
      <c r="AA37" s="144">
        <v>0.93600000000000005</v>
      </c>
      <c r="AB37" s="144">
        <v>0.93500000000000005</v>
      </c>
      <c r="AC37" s="144">
        <v>0.93300000000000005</v>
      </c>
      <c r="AD37" s="144">
        <v>0.93100000000000005</v>
      </c>
      <c r="AE37" s="140">
        <v>0.93</v>
      </c>
      <c r="AF37" s="140">
        <v>0.93</v>
      </c>
      <c r="AG37" s="140">
        <v>0.92900000000000005</v>
      </c>
      <c r="AH37" s="140">
        <v>0.92900000000000005</v>
      </c>
      <c r="AI37" s="140">
        <v>0.93400000000000005</v>
      </c>
      <c r="AJ37" s="140">
        <v>0.93600000000000005</v>
      </c>
      <c r="AK37" s="140">
        <v>0.93899999999999995</v>
      </c>
      <c r="AL37" s="140">
        <v>0.94099999999999995</v>
      </c>
      <c r="AM37" s="140">
        <v>0.94399999999999995</v>
      </c>
      <c r="AN37" s="140">
        <v>0.94899999999999995</v>
      </c>
      <c r="AO37" s="140">
        <v>0.95299999999999996</v>
      </c>
      <c r="AP37" s="224">
        <v>0.95799999999999996</v>
      </c>
      <c r="AQ37" s="141">
        <v>0.94599999999999995</v>
      </c>
      <c r="AR37" s="140">
        <v>0.94299999999999995</v>
      </c>
      <c r="AS37" s="140">
        <v>0.93700000000000006</v>
      </c>
      <c r="AT37" s="140">
        <v>0.93600000000000005</v>
      </c>
      <c r="AU37" s="140">
        <v>0.93500000000000005</v>
      </c>
      <c r="AV37" s="140">
        <v>0.93300000000000005</v>
      </c>
      <c r="AW37" s="140">
        <v>0.93100000000000005</v>
      </c>
      <c r="AX37" s="140">
        <v>0.93</v>
      </c>
      <c r="AY37" s="140">
        <v>0.93</v>
      </c>
      <c r="AZ37" s="140">
        <v>0.92900000000000005</v>
      </c>
      <c r="BA37" s="140">
        <v>0.92900000000000005</v>
      </c>
      <c r="BB37" s="140">
        <v>0.93400000000000005</v>
      </c>
      <c r="BC37" s="140">
        <v>0.93600000000000005</v>
      </c>
      <c r="BD37" s="140">
        <v>0.93899999999999995</v>
      </c>
      <c r="BE37" s="140">
        <v>0.94099999999999995</v>
      </c>
      <c r="BF37" s="140">
        <v>0.94399999999999995</v>
      </c>
      <c r="BG37" s="140">
        <v>0.94899999999999995</v>
      </c>
      <c r="BH37" s="140">
        <v>0.95299999999999996</v>
      </c>
      <c r="BI37" s="224">
        <v>0.95799999999999996</v>
      </c>
      <c r="BJ37" s="139">
        <v>0.94499999999999995</v>
      </c>
      <c r="BK37" s="140">
        <v>0.92</v>
      </c>
      <c r="BL37" s="140">
        <v>0.91500000000000004</v>
      </c>
      <c r="BM37" s="140">
        <v>0.91</v>
      </c>
      <c r="BN37" s="150">
        <v>0.90700000000000003</v>
      </c>
      <c r="BO37" s="139">
        <v>0.92700000000000005</v>
      </c>
      <c r="BP37" s="140">
        <v>0.94199999999999995</v>
      </c>
      <c r="BQ37" s="140">
        <v>0.94199999999999995</v>
      </c>
      <c r="BR37" s="140">
        <v>0.93100000000000005</v>
      </c>
      <c r="BS37" s="150">
        <v>0.93200000000000005</v>
      </c>
      <c r="BT37" s="147">
        <v>1.0469999999999999</v>
      </c>
      <c r="BU37" s="144">
        <v>1.0449999999999999</v>
      </c>
      <c r="BV37" s="144">
        <v>1.0429999999999999</v>
      </c>
      <c r="BW37" s="144">
        <v>1.0429999999999999</v>
      </c>
      <c r="BX37" s="144">
        <v>1.0429999999999999</v>
      </c>
      <c r="BY37" s="144">
        <v>1.0429999999999999</v>
      </c>
      <c r="BZ37" s="144">
        <v>1.0429999999999999</v>
      </c>
      <c r="CA37" s="144">
        <v>1.0429999999999999</v>
      </c>
      <c r="CB37" s="140">
        <v>1.04</v>
      </c>
      <c r="CC37" s="146">
        <v>1.036</v>
      </c>
      <c r="CD37" s="147">
        <v>0.96399999999999997</v>
      </c>
      <c r="CE37" s="144">
        <v>0.96</v>
      </c>
      <c r="CF37" s="144">
        <v>0.95499999999999996</v>
      </c>
      <c r="CG37" s="144">
        <v>0.95299999999999996</v>
      </c>
      <c r="CH37" s="144">
        <v>0.95</v>
      </c>
      <c r="CI37" s="144">
        <v>0.94599999999999995</v>
      </c>
      <c r="CJ37" s="144">
        <v>0.94299999999999995</v>
      </c>
      <c r="CK37" s="144">
        <v>0.94599999999999995</v>
      </c>
      <c r="CL37" s="146">
        <v>0.94799999999999995</v>
      </c>
      <c r="CM37" s="712">
        <v>0.93</v>
      </c>
      <c r="CN37" s="713">
        <v>0.93</v>
      </c>
      <c r="CO37" s="713">
        <v>0.93</v>
      </c>
      <c r="CP37" s="713">
        <v>0.93500000000000005</v>
      </c>
      <c r="CQ37" s="713">
        <v>0.93700000000000006</v>
      </c>
      <c r="CR37" s="714">
        <v>0.94</v>
      </c>
    </row>
    <row r="38" spans="1:161" s="7" customFormat="1" ht="15.6" thickBot="1" x14ac:dyDescent="0.35">
      <c r="A38" s="53" t="s">
        <v>18</v>
      </c>
      <c r="B38" s="61" t="s">
        <v>102</v>
      </c>
      <c r="C38" s="121" t="s">
        <v>110</v>
      </c>
      <c r="D38" s="524" t="s">
        <v>52</v>
      </c>
      <c r="E38" s="104">
        <f t="shared" si="3"/>
        <v>0.92913636363636354</v>
      </c>
      <c r="F38" s="105">
        <f t="shared" si="4"/>
        <v>9.9297520661157171E-3</v>
      </c>
      <c r="G38" s="105">
        <f t="shared" si="5"/>
        <v>0.89300000000000002</v>
      </c>
      <c r="H38" s="380">
        <f t="shared" si="6"/>
        <v>0.95699999999999996</v>
      </c>
      <c r="I38" s="20">
        <v>0.89300000000000002</v>
      </c>
      <c r="J38" s="11">
        <v>0.89300000000000002</v>
      </c>
      <c r="K38" s="30">
        <v>0.95699999999999996</v>
      </c>
      <c r="L38" s="20">
        <v>0.93899999999999995</v>
      </c>
      <c r="M38" s="11">
        <v>0.92200000000000004</v>
      </c>
      <c r="N38" s="11">
        <v>0.92200000000000004</v>
      </c>
      <c r="O38" s="11">
        <v>0.92200000000000004</v>
      </c>
      <c r="P38" s="11">
        <v>0.92300000000000004</v>
      </c>
      <c r="Q38" s="11">
        <v>0.92400000000000004</v>
      </c>
      <c r="R38" s="11">
        <v>0.92500000000000004</v>
      </c>
      <c r="S38" s="11">
        <v>0.92900000000000005</v>
      </c>
      <c r="T38" s="11">
        <v>0.93300000000000005</v>
      </c>
      <c r="U38" s="11">
        <v>0.93600000000000005</v>
      </c>
      <c r="V38" s="11">
        <v>0.94399999999999995</v>
      </c>
      <c r="W38" s="30">
        <v>0.94399999999999995</v>
      </c>
      <c r="X38" s="700">
        <v>0.93400000000000005</v>
      </c>
      <c r="Y38" s="701">
        <v>0.93400000000000005</v>
      </c>
      <c r="Z38" s="701">
        <v>0.93400000000000005</v>
      </c>
      <c r="AA38" s="701">
        <v>0.93400000000000005</v>
      </c>
      <c r="AB38" s="701">
        <v>0.93500000000000005</v>
      </c>
      <c r="AC38" s="701">
        <v>0.93300000000000005</v>
      </c>
      <c r="AD38" s="701">
        <v>0.93100000000000005</v>
      </c>
      <c r="AE38" s="11">
        <v>0.92800000000000005</v>
      </c>
      <c r="AF38" s="11">
        <v>0.92400000000000004</v>
      </c>
      <c r="AG38" s="11">
        <v>0.92</v>
      </c>
      <c r="AH38" s="11">
        <v>0.91600000000000004</v>
      </c>
      <c r="AI38" s="11">
        <v>0.92800000000000005</v>
      </c>
      <c r="AJ38" s="11">
        <v>0.93100000000000005</v>
      </c>
      <c r="AK38" s="11">
        <v>0.93500000000000005</v>
      </c>
      <c r="AL38" s="11">
        <v>0.93899999999999995</v>
      </c>
      <c r="AM38" s="11">
        <v>0.94299999999999995</v>
      </c>
      <c r="AN38" s="11">
        <v>0.95</v>
      </c>
      <c r="AO38" s="11">
        <v>0.95699999999999996</v>
      </c>
      <c r="AP38" s="12">
        <v>0.96499999999999997</v>
      </c>
      <c r="AQ38" s="108">
        <v>0.93400000000000005</v>
      </c>
      <c r="AR38" s="11">
        <v>0.93400000000000005</v>
      </c>
      <c r="AS38" s="11">
        <v>0.93400000000000005</v>
      </c>
      <c r="AT38" s="11">
        <v>0.93400000000000005</v>
      </c>
      <c r="AU38" s="11">
        <v>0.93400000000000005</v>
      </c>
      <c r="AV38" s="11">
        <v>0.93300000000000005</v>
      </c>
      <c r="AW38" s="11">
        <v>0.93300000000000005</v>
      </c>
      <c r="AX38" s="11">
        <v>0.92800000000000005</v>
      </c>
      <c r="AY38" s="11">
        <v>0.92400000000000004</v>
      </c>
      <c r="AZ38" s="11">
        <v>0.92</v>
      </c>
      <c r="BA38" s="11">
        <v>0.91600000000000004</v>
      </c>
      <c r="BB38" s="11">
        <v>0.92800000000000005</v>
      </c>
      <c r="BC38" s="11">
        <v>0.93100000000000005</v>
      </c>
      <c r="BD38" s="11">
        <v>0.93500000000000005</v>
      </c>
      <c r="BE38" s="11">
        <v>0.93899999999999995</v>
      </c>
      <c r="BF38" s="11">
        <v>0.94299999999999995</v>
      </c>
      <c r="BG38" s="11">
        <v>0.95</v>
      </c>
      <c r="BH38" s="11">
        <v>0.95699999999999996</v>
      </c>
      <c r="BI38" s="12">
        <v>0.96499999999999997</v>
      </c>
      <c r="BJ38" s="20">
        <v>0.92700000000000005</v>
      </c>
      <c r="BK38" s="11">
        <v>0.878</v>
      </c>
      <c r="BL38" s="11">
        <v>0.877</v>
      </c>
      <c r="BM38" s="11">
        <v>0.89400000000000002</v>
      </c>
      <c r="BN38" s="30">
        <v>0.90600000000000003</v>
      </c>
      <c r="BO38" s="20">
        <v>0.92400000000000004</v>
      </c>
      <c r="BP38" s="11">
        <v>0.95099999999999996</v>
      </c>
      <c r="BQ38" s="11">
        <v>0.95099999999999996</v>
      </c>
      <c r="BR38" s="11">
        <v>0.93600000000000005</v>
      </c>
      <c r="BS38" s="30">
        <v>0.93799999999999994</v>
      </c>
      <c r="BT38" s="700">
        <v>1.048</v>
      </c>
      <c r="BU38" s="701">
        <v>1.0469999999999999</v>
      </c>
      <c r="BV38" s="701">
        <v>1.046</v>
      </c>
      <c r="BW38" s="701">
        <v>1.046</v>
      </c>
      <c r="BX38" s="701">
        <v>1.046</v>
      </c>
      <c r="BY38" s="701">
        <v>1.046</v>
      </c>
      <c r="BZ38" s="701">
        <v>1.046</v>
      </c>
      <c r="CA38" s="701">
        <v>1.046</v>
      </c>
      <c r="CB38" s="701">
        <v>1.0429999999999999</v>
      </c>
      <c r="CC38" s="702">
        <v>1.038</v>
      </c>
      <c r="CD38" s="700">
        <v>0.95399999999999996</v>
      </c>
      <c r="CE38" s="701">
        <v>0.95599999999999996</v>
      </c>
      <c r="CF38" s="701">
        <v>0.95799999999999996</v>
      </c>
      <c r="CG38" s="701">
        <v>0.95699999999999996</v>
      </c>
      <c r="CH38" s="701">
        <v>0.95599999999999996</v>
      </c>
      <c r="CI38" s="701">
        <v>0.95499999999999996</v>
      </c>
      <c r="CJ38" s="701">
        <v>0.95399999999999996</v>
      </c>
      <c r="CK38" s="701">
        <v>0.95099999999999996</v>
      </c>
      <c r="CL38" s="702">
        <v>0.94699999999999995</v>
      </c>
      <c r="CM38" s="712">
        <v>0.92100000000000004</v>
      </c>
      <c r="CN38" s="713">
        <v>0.92400000000000004</v>
      </c>
      <c r="CO38" s="713">
        <v>0.94</v>
      </c>
      <c r="CP38" s="713">
        <v>0.94599999999999995</v>
      </c>
      <c r="CQ38" s="713">
        <v>0.94799999999999995</v>
      </c>
      <c r="CR38" s="714">
        <v>0.95099999999999996</v>
      </c>
    </row>
    <row r="39" spans="1:161" s="7" customFormat="1" ht="25.05" customHeight="1" thickBot="1" x14ac:dyDescent="0.35">
      <c r="A39" s="470"/>
      <c r="B39" s="470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471"/>
      <c r="AB39" s="471"/>
      <c r="AC39" s="471"/>
      <c r="AD39" s="471"/>
    </row>
    <row r="40" spans="1:161" s="37" customFormat="1" ht="16.2" thickBot="1" x14ac:dyDescent="0.35">
      <c r="A40" s="115" t="s">
        <v>280</v>
      </c>
      <c r="B40" s="116"/>
      <c r="C40" s="116"/>
      <c r="D40" s="375" t="s">
        <v>280</v>
      </c>
      <c r="E40" s="882" t="s">
        <v>280</v>
      </c>
      <c r="F40" s="883"/>
      <c r="G40" s="883"/>
      <c r="H40" s="884"/>
      <c r="I40" s="1043" t="s">
        <v>280</v>
      </c>
      <c r="J40" s="1044"/>
      <c r="K40" s="1044"/>
      <c r="L40" s="1044"/>
      <c r="M40" s="1044"/>
      <c r="N40" s="1044"/>
      <c r="O40" s="1044"/>
      <c r="P40" s="1043" t="s">
        <v>280</v>
      </c>
      <c r="Q40" s="1044"/>
      <c r="R40" s="1044"/>
      <c r="S40" s="1047"/>
      <c r="T40" s="864" t="s">
        <v>280</v>
      </c>
      <c r="U40" s="865"/>
      <c r="V40" s="865"/>
      <c r="W40" s="866"/>
      <c r="X40" s="864" t="s">
        <v>280</v>
      </c>
      <c r="Y40" s="866"/>
      <c r="Z40" s="864" t="s">
        <v>280</v>
      </c>
      <c r="AA40" s="865"/>
      <c r="AB40" s="865"/>
      <c r="AC40" s="865"/>
      <c r="AD40" s="865"/>
      <c r="AE40" s="865"/>
      <c r="AF40" s="866"/>
      <c r="AG40" s="232" t="s">
        <v>280</v>
      </c>
      <c r="AH40" s="1058" t="s">
        <v>280</v>
      </c>
      <c r="AI40" s="1059"/>
      <c r="AJ40" s="1059"/>
      <c r="AK40" s="1059"/>
      <c r="AL40" s="1060"/>
      <c r="AM40" s="502" t="s">
        <v>280</v>
      </c>
      <c r="AN40" s="864" t="s">
        <v>280</v>
      </c>
      <c r="AO40" s="866"/>
      <c r="AP40" s="930" t="s">
        <v>280</v>
      </c>
      <c r="AQ40" s="931"/>
      <c r="AR40" s="931"/>
      <c r="AS40" s="931"/>
      <c r="AT40" s="931"/>
      <c r="AU40" s="931"/>
      <c r="AV40" s="931"/>
      <c r="AW40" s="931"/>
      <c r="AX40" s="931"/>
      <c r="AY40" s="931"/>
      <c r="AZ40" s="931"/>
      <c r="BA40" s="931"/>
      <c r="BB40" s="931"/>
      <c r="BC40" s="931"/>
      <c r="BD40" s="931"/>
      <c r="BE40" s="931"/>
      <c r="BF40" s="931"/>
      <c r="BG40" s="931"/>
      <c r="BH40" s="931"/>
      <c r="BI40" s="931"/>
      <c r="BJ40" s="931"/>
      <c r="BK40" s="931"/>
      <c r="BL40" s="932"/>
      <c r="BM40" s="930" t="s">
        <v>280</v>
      </c>
      <c r="BN40" s="931"/>
      <c r="BO40" s="931"/>
      <c r="BP40" s="931"/>
      <c r="BQ40" s="931"/>
      <c r="BR40" s="931"/>
      <c r="BS40" s="931"/>
      <c r="BT40" s="931"/>
      <c r="BU40" s="931"/>
      <c r="BV40" s="931"/>
      <c r="BW40" s="1057"/>
      <c r="BX40" s="864" t="s">
        <v>280</v>
      </c>
      <c r="BY40" s="865"/>
      <c r="BZ40" s="865"/>
      <c r="CA40" s="866"/>
      <c r="CB40" s="865" t="s">
        <v>280</v>
      </c>
      <c r="CC40" s="865"/>
      <c r="CD40" s="865"/>
      <c r="CE40" s="865"/>
      <c r="CF40" s="864" t="s">
        <v>280</v>
      </c>
      <c r="CG40" s="865"/>
      <c r="CH40" s="865"/>
      <c r="CI40" s="866"/>
      <c r="CJ40" s="865" t="s">
        <v>280</v>
      </c>
      <c r="CK40" s="865"/>
      <c r="CL40" s="865"/>
      <c r="CM40" s="865"/>
      <c r="CN40" s="864" t="s">
        <v>280</v>
      </c>
      <c r="CO40" s="865"/>
      <c r="CP40" s="865"/>
      <c r="CQ40" s="865"/>
      <c r="CR40" s="865"/>
      <c r="CS40" s="865"/>
      <c r="CT40" s="865"/>
      <c r="CU40" s="865"/>
      <c r="CV40" s="865"/>
      <c r="CW40" s="865"/>
      <c r="CX40" s="865"/>
      <c r="CY40" s="865"/>
      <c r="CZ40" s="865"/>
      <c r="DA40" s="865"/>
      <c r="DB40" s="865"/>
      <c r="DC40" s="865"/>
      <c r="DD40" s="865"/>
      <c r="DE40" s="865"/>
      <c r="DF40" s="865"/>
      <c r="DG40" s="865"/>
      <c r="DH40" s="865"/>
      <c r="DI40" s="865"/>
      <c r="DJ40" s="866"/>
      <c r="DK40" s="903" t="s">
        <v>280</v>
      </c>
      <c r="DL40" s="909"/>
      <c r="DM40" s="909"/>
      <c r="DN40" s="909"/>
      <c r="DO40" s="909"/>
      <c r="DP40" s="909"/>
      <c r="DQ40" s="904"/>
      <c r="DR40" s="903" t="s">
        <v>280</v>
      </c>
      <c r="DS40" s="904"/>
      <c r="DT40" s="921" t="s">
        <v>280</v>
      </c>
      <c r="DU40" s="922"/>
      <c r="DV40" s="922"/>
      <c r="DW40" s="922"/>
      <c r="DX40" s="922"/>
      <c r="DY40" s="922"/>
      <c r="DZ40" s="922"/>
      <c r="EA40" s="922"/>
      <c r="EB40" s="922"/>
      <c r="EC40" s="923"/>
      <c r="ED40" s="903" t="s">
        <v>280</v>
      </c>
      <c r="EE40" s="904" t="s">
        <v>280</v>
      </c>
      <c r="EF40" s="903" t="s">
        <v>280</v>
      </c>
      <c r="EG40" s="904"/>
      <c r="EH40" s="921" t="s">
        <v>280</v>
      </c>
      <c r="EI40" s="922"/>
      <c r="EJ40" s="922"/>
      <c r="EK40" s="922"/>
      <c r="EL40" s="922"/>
      <c r="EM40" s="922"/>
      <c r="EN40" s="922"/>
      <c r="EO40" s="922"/>
      <c r="EP40" s="922"/>
      <c r="EQ40" s="922"/>
      <c r="ER40" s="922"/>
      <c r="ES40" s="923"/>
      <c r="ET40" s="765" t="s">
        <v>280</v>
      </c>
      <c r="EU40" s="921" t="s">
        <v>280</v>
      </c>
      <c r="EV40" s="922"/>
      <c r="EW40" s="922"/>
      <c r="EX40" s="922"/>
      <c r="EY40" s="921" t="s">
        <v>280</v>
      </c>
      <c r="EZ40" s="922"/>
      <c r="FA40" s="922"/>
      <c r="FB40" s="922"/>
      <c r="FC40" s="922"/>
      <c r="FD40" s="922"/>
      <c r="FE40" s="923"/>
    </row>
    <row r="41" spans="1:161" s="7" customFormat="1" ht="42" thickBot="1" x14ac:dyDescent="0.35">
      <c r="A41" s="1025">
        <f>COUNTA(I41:AT41)</f>
        <v>38</v>
      </c>
      <c r="B41" s="1025"/>
      <c r="C41" s="1026"/>
      <c r="D41" s="261" t="s">
        <v>0</v>
      </c>
      <c r="E41" s="110" t="s">
        <v>31</v>
      </c>
      <c r="F41" s="573" t="s">
        <v>512</v>
      </c>
      <c r="G41" s="111" t="s">
        <v>57</v>
      </c>
      <c r="H41" s="112" t="s">
        <v>58</v>
      </c>
      <c r="I41" s="397" t="s">
        <v>335</v>
      </c>
      <c r="J41" s="396" t="s">
        <v>336</v>
      </c>
      <c r="K41" s="396" t="s">
        <v>337</v>
      </c>
      <c r="L41" s="396" t="s">
        <v>338</v>
      </c>
      <c r="M41" s="396" t="s">
        <v>339</v>
      </c>
      <c r="N41" s="396" t="s">
        <v>340</v>
      </c>
      <c r="O41" s="404" t="s">
        <v>341</v>
      </c>
      <c r="P41" s="401" t="s">
        <v>349</v>
      </c>
      <c r="Q41" s="402" t="s">
        <v>350</v>
      </c>
      <c r="R41" s="402" t="s">
        <v>351</v>
      </c>
      <c r="S41" s="399" t="s">
        <v>352</v>
      </c>
      <c r="T41" s="165" t="s">
        <v>303</v>
      </c>
      <c r="U41" s="165" t="s">
        <v>304</v>
      </c>
      <c r="V41" s="165" t="s">
        <v>305</v>
      </c>
      <c r="W41" s="166" t="s">
        <v>306</v>
      </c>
      <c r="X41" s="403" t="s">
        <v>353</v>
      </c>
      <c r="Y41" s="766" t="s">
        <v>354</v>
      </c>
      <c r="Z41" s="408" t="s">
        <v>287</v>
      </c>
      <c r="AA41" s="405" t="s">
        <v>288</v>
      </c>
      <c r="AB41" s="405" t="s">
        <v>289</v>
      </c>
      <c r="AC41" s="405" t="s">
        <v>291</v>
      </c>
      <c r="AD41" s="405" t="s">
        <v>292</v>
      </c>
      <c r="AE41" s="405" t="s">
        <v>818</v>
      </c>
      <c r="AF41" s="406" t="s">
        <v>293</v>
      </c>
      <c r="AG41" s="772" t="s">
        <v>294</v>
      </c>
      <c r="AH41" s="401" t="s">
        <v>366</v>
      </c>
      <c r="AI41" s="402" t="s">
        <v>367</v>
      </c>
      <c r="AJ41" s="402" t="s">
        <v>665</v>
      </c>
      <c r="AK41" s="402" t="s">
        <v>666</v>
      </c>
      <c r="AL41" s="399" t="s">
        <v>667</v>
      </c>
      <c r="AM41" s="407" t="s">
        <v>334</v>
      </c>
      <c r="AN41" s="164" t="s">
        <v>551</v>
      </c>
      <c r="AO41" s="322" t="s">
        <v>552</v>
      </c>
      <c r="AP41" s="773" t="s">
        <v>694</v>
      </c>
      <c r="AQ41" s="774" t="s">
        <v>695</v>
      </c>
      <c r="AR41" s="774" t="s">
        <v>696</v>
      </c>
      <c r="AS41" s="774" t="s">
        <v>697</v>
      </c>
      <c r="AT41" s="774" t="s">
        <v>698</v>
      </c>
      <c r="AU41" s="774" t="s">
        <v>699</v>
      </c>
      <c r="AV41" s="774" t="s">
        <v>700</v>
      </c>
      <c r="AW41" s="774" t="s">
        <v>556</v>
      </c>
      <c r="AX41" s="774" t="s">
        <v>557</v>
      </c>
      <c r="AY41" s="774" t="s">
        <v>558</v>
      </c>
      <c r="AZ41" s="774" t="s">
        <v>559</v>
      </c>
      <c r="BA41" s="774" t="s">
        <v>560</v>
      </c>
      <c r="BB41" s="774" t="s">
        <v>660</v>
      </c>
      <c r="BC41" s="774" t="s">
        <v>661</v>
      </c>
      <c r="BD41" s="774" t="s">
        <v>662</v>
      </c>
      <c r="BE41" s="774" t="s">
        <v>663</v>
      </c>
      <c r="BF41" s="774" t="s">
        <v>664</v>
      </c>
      <c r="BG41" s="774" t="s">
        <v>664</v>
      </c>
      <c r="BH41" s="774" t="s">
        <v>561</v>
      </c>
      <c r="BI41" s="774" t="s">
        <v>701</v>
      </c>
      <c r="BJ41" s="774" t="s">
        <v>562</v>
      </c>
      <c r="BK41" s="774" t="s">
        <v>702</v>
      </c>
      <c r="BL41" s="775" t="s">
        <v>703</v>
      </c>
      <c r="BM41" s="773" t="s">
        <v>711</v>
      </c>
      <c r="BN41" s="774" t="s">
        <v>712</v>
      </c>
      <c r="BO41" s="774" t="s">
        <v>713</v>
      </c>
      <c r="BP41" s="774" t="s">
        <v>714</v>
      </c>
      <c r="BQ41" s="774" t="s">
        <v>715</v>
      </c>
      <c r="BR41" s="774" t="s">
        <v>716</v>
      </c>
      <c r="BS41" s="774" t="s">
        <v>717</v>
      </c>
      <c r="BT41" s="774" t="s">
        <v>718</v>
      </c>
      <c r="BU41" s="774" t="s">
        <v>719</v>
      </c>
      <c r="BV41" s="774" t="s">
        <v>720</v>
      </c>
      <c r="BW41" s="776" t="s">
        <v>721</v>
      </c>
      <c r="BX41" s="773" t="s">
        <v>819</v>
      </c>
      <c r="BY41" s="774" t="s">
        <v>820</v>
      </c>
      <c r="BZ41" s="774" t="s">
        <v>821</v>
      </c>
      <c r="CA41" s="775" t="s">
        <v>822</v>
      </c>
      <c r="CB41" s="777" t="s">
        <v>823</v>
      </c>
      <c r="CC41" s="774" t="s">
        <v>824</v>
      </c>
      <c r="CD41" s="774" t="s">
        <v>825</v>
      </c>
      <c r="CE41" s="776" t="s">
        <v>826</v>
      </c>
      <c r="CF41" s="773" t="s">
        <v>827</v>
      </c>
      <c r="CG41" s="774" t="s">
        <v>828</v>
      </c>
      <c r="CH41" s="774" t="s">
        <v>829</v>
      </c>
      <c r="CI41" s="775" t="s">
        <v>830</v>
      </c>
      <c r="CJ41" s="777" t="s">
        <v>831</v>
      </c>
      <c r="CK41" s="774" t="s">
        <v>832</v>
      </c>
      <c r="CL41" s="774" t="s">
        <v>833</v>
      </c>
      <c r="CM41" s="776" t="s">
        <v>834</v>
      </c>
      <c r="CN41" s="773" t="s">
        <v>835</v>
      </c>
      <c r="CO41" s="774" t="s">
        <v>836</v>
      </c>
      <c r="CP41" s="774" t="s">
        <v>837</v>
      </c>
      <c r="CQ41" s="774" t="s">
        <v>838</v>
      </c>
      <c r="CR41" s="774" t="s">
        <v>839</v>
      </c>
      <c r="CS41" s="774" t="s">
        <v>840</v>
      </c>
      <c r="CT41" s="774" t="s">
        <v>841</v>
      </c>
      <c r="CU41" s="774" t="s">
        <v>842</v>
      </c>
      <c r="CV41" s="774" t="s">
        <v>843</v>
      </c>
      <c r="CW41" s="774" t="s">
        <v>844</v>
      </c>
      <c r="CX41" s="774" t="s">
        <v>845</v>
      </c>
      <c r="CY41" s="774" t="s">
        <v>846</v>
      </c>
      <c r="CZ41" s="774" t="s">
        <v>847</v>
      </c>
      <c r="DA41" s="774" t="s">
        <v>848</v>
      </c>
      <c r="DB41" s="774" t="s">
        <v>849</v>
      </c>
      <c r="DC41" s="774" t="s">
        <v>850</v>
      </c>
      <c r="DD41" s="774" t="s">
        <v>851</v>
      </c>
      <c r="DE41" s="774" t="s">
        <v>852</v>
      </c>
      <c r="DF41" s="774" t="s">
        <v>853</v>
      </c>
      <c r="DG41" s="774" t="s">
        <v>854</v>
      </c>
      <c r="DH41" s="774" t="s">
        <v>855</v>
      </c>
      <c r="DI41" s="774" t="s">
        <v>856</v>
      </c>
      <c r="DJ41" s="775" t="s">
        <v>857</v>
      </c>
      <c r="DK41" s="735" t="s">
        <v>342</v>
      </c>
      <c r="DL41" s="736" t="s">
        <v>343</v>
      </c>
      <c r="DM41" s="736" t="s">
        <v>344</v>
      </c>
      <c r="DN41" s="736" t="s">
        <v>345</v>
      </c>
      <c r="DO41" s="736" t="s">
        <v>346</v>
      </c>
      <c r="DP41" s="736" t="s">
        <v>347</v>
      </c>
      <c r="DQ41" s="737" t="s">
        <v>348</v>
      </c>
      <c r="DR41" s="736" t="s">
        <v>554</v>
      </c>
      <c r="DS41" s="737" t="s">
        <v>555</v>
      </c>
      <c r="DT41" s="735" t="s">
        <v>704</v>
      </c>
      <c r="DU41" s="736" t="s">
        <v>563</v>
      </c>
      <c r="DV41" s="736" t="s">
        <v>705</v>
      </c>
      <c r="DW41" s="736" t="s">
        <v>706</v>
      </c>
      <c r="DX41" s="736" t="s">
        <v>707</v>
      </c>
      <c r="DY41" s="736" t="s">
        <v>708</v>
      </c>
      <c r="DZ41" s="736" t="s">
        <v>709</v>
      </c>
      <c r="EA41" s="736" t="s">
        <v>564</v>
      </c>
      <c r="EB41" s="736" t="s">
        <v>710</v>
      </c>
      <c r="EC41" s="737" t="s">
        <v>565</v>
      </c>
      <c r="ED41" s="736" t="s">
        <v>553</v>
      </c>
      <c r="EE41" s="737" t="s">
        <v>302</v>
      </c>
      <c r="EF41" s="736" t="s">
        <v>331</v>
      </c>
      <c r="EG41" s="737" t="s">
        <v>332</v>
      </c>
      <c r="EH41" s="735" t="s">
        <v>355</v>
      </c>
      <c r="EI41" s="736" t="s">
        <v>356</v>
      </c>
      <c r="EJ41" s="736" t="s">
        <v>357</v>
      </c>
      <c r="EK41" s="736" t="s">
        <v>358</v>
      </c>
      <c r="EL41" s="736" t="s">
        <v>359</v>
      </c>
      <c r="EM41" s="736" t="s">
        <v>333</v>
      </c>
      <c r="EN41" s="736" t="s">
        <v>360</v>
      </c>
      <c r="EO41" s="736" t="s">
        <v>361</v>
      </c>
      <c r="EP41" s="736" t="s">
        <v>362</v>
      </c>
      <c r="EQ41" s="736" t="s">
        <v>363</v>
      </c>
      <c r="ER41" s="736" t="s">
        <v>364</v>
      </c>
      <c r="ES41" s="737" t="s">
        <v>365</v>
      </c>
      <c r="ET41" s="735" t="s">
        <v>290</v>
      </c>
      <c r="EU41" s="735" t="s">
        <v>283</v>
      </c>
      <c r="EV41" s="736" t="s">
        <v>284</v>
      </c>
      <c r="EW41" s="736" t="s">
        <v>285</v>
      </c>
      <c r="EX41" s="736" t="s">
        <v>286</v>
      </c>
      <c r="EY41" s="735" t="s">
        <v>295</v>
      </c>
      <c r="EZ41" s="736" t="s">
        <v>296</v>
      </c>
      <c r="FA41" s="736" t="s">
        <v>297</v>
      </c>
      <c r="FB41" s="736" t="s">
        <v>298</v>
      </c>
      <c r="FC41" s="736" t="s">
        <v>299</v>
      </c>
      <c r="FD41" s="736" t="s">
        <v>300</v>
      </c>
      <c r="FE41" s="737" t="s">
        <v>301</v>
      </c>
    </row>
    <row r="42" spans="1:161" s="7" customFormat="1" ht="15" customHeight="1" thickBot="1" x14ac:dyDescent="0.35">
      <c r="A42" s="1027"/>
      <c r="B42" s="1027"/>
      <c r="C42" s="1028"/>
      <c r="D42" s="117" t="s">
        <v>33</v>
      </c>
      <c r="E42" s="971" t="s">
        <v>513</v>
      </c>
      <c r="F42" s="972"/>
      <c r="G42" s="972"/>
      <c r="H42" s="973"/>
      <c r="I42" s="852" t="s">
        <v>29</v>
      </c>
      <c r="J42" s="853"/>
      <c r="K42" s="853"/>
      <c r="L42" s="853"/>
      <c r="M42" s="853"/>
      <c r="N42" s="853"/>
      <c r="O42" s="853"/>
      <c r="P42" s="852" t="s">
        <v>29</v>
      </c>
      <c r="Q42" s="853"/>
      <c r="R42" s="853"/>
      <c r="S42" s="854"/>
      <c r="T42" s="859" t="s">
        <v>29</v>
      </c>
      <c r="U42" s="859"/>
      <c r="V42" s="859"/>
      <c r="W42" s="860"/>
      <c r="X42" s="852" t="s">
        <v>29</v>
      </c>
      <c r="Y42" s="854"/>
      <c r="Z42" s="852" t="s">
        <v>29</v>
      </c>
      <c r="AA42" s="853"/>
      <c r="AB42" s="853"/>
      <c r="AC42" s="853"/>
      <c r="AD42" s="853"/>
      <c r="AE42" s="853"/>
      <c r="AF42" s="854"/>
      <c r="AG42" s="952" t="s">
        <v>29</v>
      </c>
      <c r="AH42" s="1004" t="s">
        <v>179</v>
      </c>
      <c r="AI42" s="1005"/>
      <c r="AJ42" s="1005"/>
      <c r="AK42" s="1005"/>
      <c r="AL42" s="1006"/>
      <c r="AM42" s="952" t="s">
        <v>437</v>
      </c>
      <c r="AN42" s="852" t="s">
        <v>179</v>
      </c>
      <c r="AO42" s="854"/>
      <c r="AP42" s="852" t="s">
        <v>29</v>
      </c>
      <c r="AQ42" s="853"/>
      <c r="AR42" s="853"/>
      <c r="AS42" s="853"/>
      <c r="AT42" s="853"/>
      <c r="AU42" s="853"/>
      <c r="AV42" s="853"/>
      <c r="AW42" s="853"/>
      <c r="AX42" s="853"/>
      <c r="AY42" s="853"/>
      <c r="AZ42" s="853"/>
      <c r="BA42" s="853"/>
      <c r="BB42" s="853"/>
      <c r="BC42" s="853"/>
      <c r="BD42" s="853"/>
      <c r="BE42" s="853"/>
      <c r="BF42" s="853"/>
      <c r="BG42" s="853"/>
      <c r="BH42" s="853"/>
      <c r="BI42" s="853"/>
      <c r="BJ42" s="853"/>
      <c r="BK42" s="853"/>
      <c r="BL42" s="854"/>
      <c r="BM42" s="870" t="s">
        <v>29</v>
      </c>
      <c r="BN42" s="871"/>
      <c r="BO42" s="871"/>
      <c r="BP42" s="871"/>
      <c r="BQ42" s="871"/>
      <c r="BR42" s="871"/>
      <c r="BS42" s="871"/>
      <c r="BT42" s="871"/>
      <c r="BU42" s="871"/>
      <c r="BV42" s="871"/>
      <c r="BW42" s="880"/>
      <c r="BX42" s="852" t="s">
        <v>179</v>
      </c>
      <c r="BY42" s="853"/>
      <c r="BZ42" s="853"/>
      <c r="CA42" s="854"/>
      <c r="CB42" s="853" t="s">
        <v>29</v>
      </c>
      <c r="CC42" s="853"/>
      <c r="CD42" s="853"/>
      <c r="CE42" s="853"/>
      <c r="CF42" s="852" t="s">
        <v>179</v>
      </c>
      <c r="CG42" s="853"/>
      <c r="CH42" s="853"/>
      <c r="CI42" s="854"/>
      <c r="CJ42" s="853" t="s">
        <v>29</v>
      </c>
      <c r="CK42" s="853"/>
      <c r="CL42" s="853"/>
      <c r="CM42" s="853"/>
      <c r="CN42" s="852" t="s">
        <v>29</v>
      </c>
      <c r="CO42" s="853"/>
      <c r="CP42" s="853"/>
      <c r="CQ42" s="853"/>
      <c r="CR42" s="853"/>
      <c r="CS42" s="853"/>
      <c r="CT42" s="853"/>
      <c r="CU42" s="853"/>
      <c r="CV42" s="853"/>
      <c r="CW42" s="853"/>
      <c r="CX42" s="853"/>
      <c r="CY42" s="853"/>
      <c r="CZ42" s="853"/>
      <c r="DA42" s="853"/>
      <c r="DB42" s="853"/>
      <c r="DC42" s="853"/>
      <c r="DD42" s="853"/>
      <c r="DE42" s="853"/>
      <c r="DF42" s="853"/>
      <c r="DG42" s="853"/>
      <c r="DH42" s="853"/>
      <c r="DI42" s="853"/>
      <c r="DJ42" s="854"/>
      <c r="DK42" s="905" t="s">
        <v>29</v>
      </c>
      <c r="DL42" s="910"/>
      <c r="DM42" s="910"/>
      <c r="DN42" s="910"/>
      <c r="DO42" s="910"/>
      <c r="DP42" s="910"/>
      <c r="DQ42" s="906"/>
      <c r="DR42" s="905" t="s">
        <v>29</v>
      </c>
      <c r="DS42" s="906"/>
      <c r="DT42" s="915" t="s">
        <v>29</v>
      </c>
      <c r="DU42" s="916"/>
      <c r="DV42" s="916"/>
      <c r="DW42" s="916"/>
      <c r="DX42" s="916"/>
      <c r="DY42" s="916"/>
      <c r="DZ42" s="916"/>
      <c r="EA42" s="916"/>
      <c r="EB42" s="916"/>
      <c r="EC42" s="917"/>
      <c r="ED42" s="905" t="s">
        <v>179</v>
      </c>
      <c r="EE42" s="906" t="s">
        <v>29</v>
      </c>
      <c r="EF42" s="905" t="s">
        <v>179</v>
      </c>
      <c r="EG42" s="906"/>
      <c r="EH42" s="915" t="s">
        <v>29</v>
      </c>
      <c r="EI42" s="916"/>
      <c r="EJ42" s="916"/>
      <c r="EK42" s="916"/>
      <c r="EL42" s="916"/>
      <c r="EM42" s="916"/>
      <c r="EN42" s="916"/>
      <c r="EO42" s="916"/>
      <c r="EP42" s="916"/>
      <c r="EQ42" s="916"/>
      <c r="ER42" s="916"/>
      <c r="ES42" s="917"/>
      <c r="ET42" s="915" t="s">
        <v>29</v>
      </c>
      <c r="EU42" s="915" t="s">
        <v>29</v>
      </c>
      <c r="EV42" s="916"/>
      <c r="EW42" s="916"/>
      <c r="EX42" s="916"/>
      <c r="EY42" s="915" t="s">
        <v>179</v>
      </c>
      <c r="EZ42" s="916"/>
      <c r="FA42" s="916"/>
      <c r="FB42" s="916"/>
      <c r="FC42" s="916"/>
      <c r="FD42" s="916"/>
      <c r="FE42" s="917"/>
    </row>
    <row r="43" spans="1:161" s="7" customFormat="1" ht="15" customHeight="1" thickBot="1" x14ac:dyDescent="0.35">
      <c r="A43" s="57" t="s">
        <v>54</v>
      </c>
      <c r="B43" s="122" t="s">
        <v>55</v>
      </c>
      <c r="C43" s="62" t="s">
        <v>1</v>
      </c>
      <c r="D43" s="118" t="s">
        <v>32</v>
      </c>
      <c r="E43" s="971"/>
      <c r="F43" s="972"/>
      <c r="G43" s="972"/>
      <c r="H43" s="973"/>
      <c r="I43" s="855"/>
      <c r="J43" s="856"/>
      <c r="K43" s="856"/>
      <c r="L43" s="856"/>
      <c r="M43" s="856"/>
      <c r="N43" s="856"/>
      <c r="O43" s="856"/>
      <c r="P43" s="855"/>
      <c r="Q43" s="856"/>
      <c r="R43" s="856"/>
      <c r="S43" s="857"/>
      <c r="T43" s="862"/>
      <c r="U43" s="862"/>
      <c r="V43" s="862"/>
      <c r="W43" s="863"/>
      <c r="X43" s="855"/>
      <c r="Y43" s="857"/>
      <c r="Z43" s="855"/>
      <c r="AA43" s="856"/>
      <c r="AB43" s="856"/>
      <c r="AC43" s="856"/>
      <c r="AD43" s="856"/>
      <c r="AE43" s="856"/>
      <c r="AF43" s="857"/>
      <c r="AG43" s="953"/>
      <c r="AH43" s="1004"/>
      <c r="AI43" s="1005"/>
      <c r="AJ43" s="1005"/>
      <c r="AK43" s="1005"/>
      <c r="AL43" s="1006"/>
      <c r="AM43" s="953"/>
      <c r="AN43" s="855"/>
      <c r="AO43" s="857"/>
      <c r="AP43" s="855"/>
      <c r="AQ43" s="856"/>
      <c r="AR43" s="856"/>
      <c r="AS43" s="856"/>
      <c r="AT43" s="856"/>
      <c r="AU43" s="856"/>
      <c r="AV43" s="856"/>
      <c r="AW43" s="856"/>
      <c r="AX43" s="856"/>
      <c r="AY43" s="856"/>
      <c r="AZ43" s="856"/>
      <c r="BA43" s="856"/>
      <c r="BB43" s="856"/>
      <c r="BC43" s="856"/>
      <c r="BD43" s="856"/>
      <c r="BE43" s="856"/>
      <c r="BF43" s="856"/>
      <c r="BG43" s="856"/>
      <c r="BH43" s="856"/>
      <c r="BI43" s="856"/>
      <c r="BJ43" s="856"/>
      <c r="BK43" s="856"/>
      <c r="BL43" s="857"/>
      <c r="BM43" s="873"/>
      <c r="BN43" s="874"/>
      <c r="BO43" s="874"/>
      <c r="BP43" s="874"/>
      <c r="BQ43" s="874"/>
      <c r="BR43" s="874"/>
      <c r="BS43" s="874"/>
      <c r="BT43" s="874"/>
      <c r="BU43" s="874"/>
      <c r="BV43" s="874"/>
      <c r="BW43" s="881"/>
      <c r="BX43" s="855"/>
      <c r="BY43" s="856"/>
      <c r="BZ43" s="856"/>
      <c r="CA43" s="857"/>
      <c r="CB43" s="856"/>
      <c r="CC43" s="856"/>
      <c r="CD43" s="856"/>
      <c r="CE43" s="856"/>
      <c r="CF43" s="855"/>
      <c r="CG43" s="856"/>
      <c r="CH43" s="856"/>
      <c r="CI43" s="857"/>
      <c r="CJ43" s="856"/>
      <c r="CK43" s="856"/>
      <c r="CL43" s="856"/>
      <c r="CM43" s="856"/>
      <c r="CN43" s="855"/>
      <c r="CO43" s="856"/>
      <c r="CP43" s="856"/>
      <c r="CQ43" s="856"/>
      <c r="CR43" s="856"/>
      <c r="CS43" s="856"/>
      <c r="CT43" s="856"/>
      <c r="CU43" s="856"/>
      <c r="CV43" s="856"/>
      <c r="CW43" s="856"/>
      <c r="CX43" s="856"/>
      <c r="CY43" s="856"/>
      <c r="CZ43" s="856"/>
      <c r="DA43" s="856"/>
      <c r="DB43" s="856"/>
      <c r="DC43" s="856"/>
      <c r="DD43" s="856"/>
      <c r="DE43" s="856"/>
      <c r="DF43" s="856"/>
      <c r="DG43" s="856"/>
      <c r="DH43" s="856"/>
      <c r="DI43" s="856"/>
      <c r="DJ43" s="857"/>
      <c r="DK43" s="907"/>
      <c r="DL43" s="911"/>
      <c r="DM43" s="911"/>
      <c r="DN43" s="911"/>
      <c r="DO43" s="911"/>
      <c r="DP43" s="911"/>
      <c r="DQ43" s="908"/>
      <c r="DR43" s="907"/>
      <c r="DS43" s="908"/>
      <c r="DT43" s="918"/>
      <c r="DU43" s="919"/>
      <c r="DV43" s="919"/>
      <c r="DW43" s="919"/>
      <c r="DX43" s="919"/>
      <c r="DY43" s="919"/>
      <c r="DZ43" s="919"/>
      <c r="EA43" s="919"/>
      <c r="EB43" s="919"/>
      <c r="EC43" s="920"/>
      <c r="ED43" s="907"/>
      <c r="EE43" s="908"/>
      <c r="EF43" s="907"/>
      <c r="EG43" s="908"/>
      <c r="EH43" s="918"/>
      <c r="EI43" s="919"/>
      <c r="EJ43" s="919"/>
      <c r="EK43" s="919"/>
      <c r="EL43" s="919"/>
      <c r="EM43" s="919"/>
      <c r="EN43" s="919"/>
      <c r="EO43" s="919"/>
      <c r="EP43" s="919"/>
      <c r="EQ43" s="919"/>
      <c r="ER43" s="919"/>
      <c r="ES43" s="920"/>
      <c r="ET43" s="918"/>
      <c r="EU43" s="918"/>
      <c r="EV43" s="919"/>
      <c r="EW43" s="919"/>
      <c r="EX43" s="919"/>
      <c r="EY43" s="918"/>
      <c r="EZ43" s="919"/>
      <c r="FA43" s="919"/>
      <c r="FB43" s="919"/>
      <c r="FC43" s="919"/>
      <c r="FD43" s="919"/>
      <c r="FE43" s="920"/>
    </row>
    <row r="44" spans="1:161" s="7" customFormat="1" ht="15" x14ac:dyDescent="0.3">
      <c r="A44" s="45" t="s">
        <v>5</v>
      </c>
      <c r="B44" s="60" t="s">
        <v>21</v>
      </c>
      <c r="C44" s="119" t="s">
        <v>109</v>
      </c>
      <c r="D44" s="522" t="s">
        <v>52</v>
      </c>
      <c r="E44" s="99">
        <f t="shared" ref="E44:E53" si="7">AVERAGE(I44:AR44)</f>
        <v>99.141666666666666</v>
      </c>
      <c r="F44" s="100">
        <f>AVEDEV(I44:DQB44)</f>
        <v>75.793310265282557</v>
      </c>
      <c r="G44" s="100">
        <f t="shared" ref="G44:G53" si="8">MIN(I44:AR44)</f>
        <v>7</v>
      </c>
      <c r="H44" s="376">
        <f t="shared" ref="H44:H53" si="9">MAX(I44:AR44)</f>
        <v>499</v>
      </c>
      <c r="I44" s="707">
        <v>7</v>
      </c>
      <c r="J44" s="708">
        <v>10</v>
      </c>
      <c r="K44" s="708">
        <v>15</v>
      </c>
      <c r="L44" s="708">
        <v>20</v>
      </c>
      <c r="M44" s="421">
        <v>25</v>
      </c>
      <c r="N44" s="421">
        <v>30</v>
      </c>
      <c r="O44" s="684">
        <v>35</v>
      </c>
      <c r="P44" s="420">
        <v>69</v>
      </c>
      <c r="Q44" s="421">
        <v>80</v>
      </c>
      <c r="R44" s="421">
        <v>100</v>
      </c>
      <c r="S44" s="422">
        <v>105</v>
      </c>
      <c r="T44" s="473">
        <v>22</v>
      </c>
      <c r="U44" s="473">
        <v>25</v>
      </c>
      <c r="V44" s="473">
        <v>34</v>
      </c>
      <c r="W44" s="474">
        <v>38</v>
      </c>
      <c r="X44" s="472">
        <v>15</v>
      </c>
      <c r="Y44" s="616">
        <v>20</v>
      </c>
      <c r="Z44" s="420">
        <v>150</v>
      </c>
      <c r="AA44" s="421">
        <v>208</v>
      </c>
      <c r="AB44" s="421">
        <v>250</v>
      </c>
      <c r="AC44" s="421">
        <v>320</v>
      </c>
      <c r="AD44" s="421">
        <v>399</v>
      </c>
      <c r="AE44" s="421">
        <v>467</v>
      </c>
      <c r="AF44" s="422">
        <v>499</v>
      </c>
      <c r="AG44" s="687">
        <v>350</v>
      </c>
      <c r="AH44" s="413">
        <v>16.3</v>
      </c>
      <c r="AI44" s="414">
        <v>21.6</v>
      </c>
      <c r="AJ44" s="414">
        <v>27.5</v>
      </c>
      <c r="AK44" s="421">
        <v>32</v>
      </c>
      <c r="AL44" s="422">
        <v>38</v>
      </c>
      <c r="AM44" s="385">
        <v>27.5</v>
      </c>
      <c r="AN44" s="472">
        <v>16.2</v>
      </c>
      <c r="AO44" s="474">
        <v>22</v>
      </c>
      <c r="AP44" s="705">
        <v>19.899999999999999</v>
      </c>
      <c r="AQ44" s="706">
        <v>25.1</v>
      </c>
      <c r="AR44" s="703">
        <v>30</v>
      </c>
      <c r="AS44" s="703">
        <v>35</v>
      </c>
      <c r="AT44" s="703">
        <v>45</v>
      </c>
      <c r="AU44" s="706">
        <v>49.9</v>
      </c>
      <c r="AV44" s="703">
        <v>60</v>
      </c>
      <c r="AW44" s="703">
        <v>80</v>
      </c>
      <c r="AX44" s="703">
        <v>90</v>
      </c>
      <c r="AY44" s="703">
        <v>100</v>
      </c>
      <c r="AZ44" s="703">
        <v>110</v>
      </c>
      <c r="BA44" s="703">
        <v>120</v>
      </c>
      <c r="BB44" s="703">
        <v>130</v>
      </c>
      <c r="BC44" s="703">
        <v>140</v>
      </c>
      <c r="BD44" s="703">
        <v>150</v>
      </c>
      <c r="BE44" s="703">
        <v>160</v>
      </c>
      <c r="BF44" s="703">
        <v>170</v>
      </c>
      <c r="BG44" s="703">
        <v>180</v>
      </c>
      <c r="BH44" s="703">
        <v>199</v>
      </c>
      <c r="BI44" s="703">
        <v>230</v>
      </c>
      <c r="BJ44" s="703">
        <v>250</v>
      </c>
      <c r="BK44" s="703">
        <v>300</v>
      </c>
      <c r="BL44" s="704">
        <v>350</v>
      </c>
      <c r="BM44" s="705">
        <v>99.8</v>
      </c>
      <c r="BN44" s="703">
        <v>110</v>
      </c>
      <c r="BO44" s="703">
        <v>120</v>
      </c>
      <c r="BP44" s="703">
        <v>140</v>
      </c>
      <c r="BQ44" s="703">
        <v>150</v>
      </c>
      <c r="BR44" s="703">
        <v>160</v>
      </c>
      <c r="BS44" s="703">
        <v>170</v>
      </c>
      <c r="BT44" s="703">
        <v>180</v>
      </c>
      <c r="BU44" s="703">
        <v>199</v>
      </c>
      <c r="BV44" s="703">
        <v>230</v>
      </c>
      <c r="BW44" s="769">
        <v>250</v>
      </c>
      <c r="BX44" s="705">
        <v>49.5</v>
      </c>
      <c r="BY44" s="706">
        <v>55</v>
      </c>
      <c r="BZ44" s="703">
        <v>60.5</v>
      </c>
      <c r="CA44" s="704">
        <v>66</v>
      </c>
      <c r="CB44" s="771">
        <v>45</v>
      </c>
      <c r="CC44" s="706">
        <v>50</v>
      </c>
      <c r="CD44" s="703">
        <v>55</v>
      </c>
      <c r="CE44" s="769">
        <v>60</v>
      </c>
      <c r="CF44" s="770">
        <v>49.5</v>
      </c>
      <c r="CG44" s="703">
        <v>55</v>
      </c>
      <c r="CH44" s="703">
        <v>60.5</v>
      </c>
      <c r="CI44" s="704">
        <v>66</v>
      </c>
      <c r="CJ44" s="771">
        <v>45</v>
      </c>
      <c r="CK44" s="703">
        <v>50</v>
      </c>
      <c r="CL44" s="703">
        <v>55</v>
      </c>
      <c r="CM44" s="769">
        <v>60</v>
      </c>
      <c r="CN44" s="770">
        <v>19.899999999999999</v>
      </c>
      <c r="CO44" s="703">
        <v>25.1</v>
      </c>
      <c r="CP44" s="703">
        <v>30</v>
      </c>
      <c r="CQ44" s="703">
        <v>35</v>
      </c>
      <c r="CR44" s="703">
        <v>45</v>
      </c>
      <c r="CS44" s="703">
        <v>49.9</v>
      </c>
      <c r="CT44" s="703">
        <v>60</v>
      </c>
      <c r="CU44" s="703">
        <v>80</v>
      </c>
      <c r="CV44" s="703">
        <v>90</v>
      </c>
      <c r="CW44" s="703">
        <v>99.8</v>
      </c>
      <c r="CX44" s="703">
        <v>110</v>
      </c>
      <c r="CY44" s="703">
        <v>120</v>
      </c>
      <c r="CZ44" s="703">
        <v>130</v>
      </c>
      <c r="DA44" s="703">
        <v>140</v>
      </c>
      <c r="DB44" s="703">
        <v>150</v>
      </c>
      <c r="DC44" s="703">
        <v>160</v>
      </c>
      <c r="DD44" s="703">
        <v>170</v>
      </c>
      <c r="DE44" s="703">
        <v>180</v>
      </c>
      <c r="DF44" s="703">
        <v>199</v>
      </c>
      <c r="DG44" s="703">
        <v>230</v>
      </c>
      <c r="DH44" s="703">
        <v>250</v>
      </c>
      <c r="DI44" s="703">
        <v>300</v>
      </c>
      <c r="DJ44" s="704">
        <v>350</v>
      </c>
      <c r="DK44" s="768">
        <v>14.9</v>
      </c>
      <c r="DL44" s="741">
        <v>20</v>
      </c>
      <c r="DM44" s="741">
        <v>25</v>
      </c>
      <c r="DN44" s="741">
        <v>32</v>
      </c>
      <c r="DO44" s="741">
        <v>38</v>
      </c>
      <c r="DP44" s="741">
        <v>48</v>
      </c>
      <c r="DQ44" s="742">
        <v>58.5</v>
      </c>
      <c r="DR44" s="741">
        <v>130</v>
      </c>
      <c r="DS44" s="742">
        <v>150</v>
      </c>
      <c r="DT44" s="768">
        <v>100</v>
      </c>
      <c r="DU44" s="741">
        <v>120</v>
      </c>
      <c r="DV44" s="741">
        <v>140</v>
      </c>
      <c r="DW44" s="741">
        <v>150</v>
      </c>
      <c r="DX44" s="741">
        <v>160</v>
      </c>
      <c r="DY44" s="741">
        <v>170</v>
      </c>
      <c r="DZ44" s="741">
        <v>180</v>
      </c>
      <c r="EA44" s="741">
        <v>199</v>
      </c>
      <c r="EB44" s="741">
        <v>230</v>
      </c>
      <c r="EC44" s="742">
        <v>250</v>
      </c>
      <c r="ED44" s="741">
        <v>27.6</v>
      </c>
      <c r="EE44" s="742">
        <v>15.6</v>
      </c>
      <c r="EF44" s="741">
        <v>16.5</v>
      </c>
      <c r="EG44" s="742">
        <v>21.4</v>
      </c>
      <c r="EH44" s="768">
        <v>24</v>
      </c>
      <c r="EI44" s="741">
        <v>30</v>
      </c>
      <c r="EJ44" s="741">
        <v>40</v>
      </c>
      <c r="EK44" s="741">
        <v>50</v>
      </c>
      <c r="EL44" s="741">
        <v>60</v>
      </c>
      <c r="EM44" s="741">
        <v>69</v>
      </c>
      <c r="EN44" s="741">
        <v>75</v>
      </c>
      <c r="EO44" s="741">
        <v>90</v>
      </c>
      <c r="EP44" s="741">
        <v>100</v>
      </c>
      <c r="EQ44" s="741">
        <v>110</v>
      </c>
      <c r="ER44" s="741">
        <v>130</v>
      </c>
      <c r="ES44" s="742">
        <v>150</v>
      </c>
      <c r="ET44" s="768">
        <v>300</v>
      </c>
      <c r="EU44" s="768">
        <v>150</v>
      </c>
      <c r="EV44" s="741">
        <v>199</v>
      </c>
      <c r="EW44" s="741">
        <v>225</v>
      </c>
      <c r="EX44" s="741">
        <v>250</v>
      </c>
      <c r="EY44" s="768">
        <v>14.9</v>
      </c>
      <c r="EZ44" s="741">
        <v>20</v>
      </c>
      <c r="FA44" s="741">
        <v>25</v>
      </c>
      <c r="FB44" s="741">
        <v>32</v>
      </c>
      <c r="FC44" s="741">
        <v>38</v>
      </c>
      <c r="FD44" s="741">
        <v>48</v>
      </c>
      <c r="FE44" s="742">
        <v>58.5</v>
      </c>
    </row>
    <row r="45" spans="1:161" s="7" customFormat="1" ht="15" x14ac:dyDescent="0.3">
      <c r="A45" s="49" t="s">
        <v>6</v>
      </c>
      <c r="B45" s="44" t="s">
        <v>22</v>
      </c>
      <c r="C45" s="120" t="s">
        <v>110</v>
      </c>
      <c r="D45" s="523" t="s">
        <v>52</v>
      </c>
      <c r="E45" s="101">
        <f t="shared" si="7"/>
        <v>1.3111111111111119E-2</v>
      </c>
      <c r="F45" s="97">
        <f t="shared" ref="F45:F53" si="10">AVEDEV(I45:DQB45)</f>
        <v>3.9861591695501764E-3</v>
      </c>
      <c r="G45" s="97">
        <f t="shared" si="8"/>
        <v>5.0000000000000001E-3</v>
      </c>
      <c r="H45" s="377">
        <f t="shared" si="9"/>
        <v>2.5000000000000001E-2</v>
      </c>
      <c r="I45" s="382">
        <v>2.5000000000000001E-2</v>
      </c>
      <c r="J45" s="305">
        <v>1.6E-2</v>
      </c>
      <c r="K45" s="305">
        <v>1.4E-2</v>
      </c>
      <c r="L45" s="305">
        <v>0.01</v>
      </c>
      <c r="M45" s="462">
        <v>1.0999999999999999E-2</v>
      </c>
      <c r="N45" s="462">
        <v>1.0999999999999999E-2</v>
      </c>
      <c r="O45" s="464">
        <v>8.9999999999999993E-3</v>
      </c>
      <c r="P45" s="465">
        <v>1.4999999999999999E-2</v>
      </c>
      <c r="Q45" s="462">
        <v>1.4999999999999999E-2</v>
      </c>
      <c r="R45" s="462">
        <v>1.4E-2</v>
      </c>
      <c r="S45" s="463">
        <v>1.4E-2</v>
      </c>
      <c r="T45" s="462">
        <v>1.6E-2</v>
      </c>
      <c r="U45" s="462">
        <v>1.4E-2</v>
      </c>
      <c r="V45" s="462">
        <v>1.2999999999999999E-2</v>
      </c>
      <c r="W45" s="463">
        <v>1.0999999999999999E-2</v>
      </c>
      <c r="X45" s="465">
        <v>2.5000000000000001E-2</v>
      </c>
      <c r="Y45" s="464">
        <v>1.7999999999999999E-2</v>
      </c>
      <c r="Z45" s="465">
        <v>1.0999999999999999E-2</v>
      </c>
      <c r="AA45" s="462">
        <v>8.9999999999999993E-3</v>
      </c>
      <c r="AB45" s="462">
        <v>7.0000000000000001E-3</v>
      </c>
      <c r="AC45" s="462">
        <v>8.9999999999999993E-3</v>
      </c>
      <c r="AD45" s="462">
        <v>1.2E-2</v>
      </c>
      <c r="AE45" s="462">
        <v>1.4999999999999999E-2</v>
      </c>
      <c r="AF45" s="463">
        <v>1.6E-2</v>
      </c>
      <c r="AG45" s="688">
        <v>0.01</v>
      </c>
      <c r="AH45" s="465">
        <v>1.2999999999999999E-2</v>
      </c>
      <c r="AI45" s="462">
        <v>1.2E-2</v>
      </c>
      <c r="AJ45" s="462">
        <v>1.0999999999999999E-2</v>
      </c>
      <c r="AK45" s="462">
        <v>1.0999999999999999E-2</v>
      </c>
      <c r="AL45" s="463">
        <v>0.01</v>
      </c>
      <c r="AM45" s="417">
        <v>1.7000000000000001E-2</v>
      </c>
      <c r="AN45" s="465">
        <v>5.0000000000000001E-3</v>
      </c>
      <c r="AO45" s="463">
        <v>7.0000000000000001E-3</v>
      </c>
      <c r="AP45" s="465">
        <v>1.7000000000000001E-2</v>
      </c>
      <c r="AQ45" s="462">
        <v>1.4999999999999999E-2</v>
      </c>
      <c r="AR45" s="462">
        <v>1.4E-2</v>
      </c>
      <c r="AS45" s="462">
        <v>1.2E-2</v>
      </c>
      <c r="AT45" s="462">
        <v>0.01</v>
      </c>
      <c r="AU45" s="462">
        <v>8.9999999999999993E-3</v>
      </c>
      <c r="AV45" s="462">
        <v>8.9999999999999993E-3</v>
      </c>
      <c r="AW45" s="462">
        <v>7.0000000000000001E-3</v>
      </c>
      <c r="AX45" s="462">
        <v>7.0000000000000001E-3</v>
      </c>
      <c r="AY45" s="462">
        <v>6.0000000000000001E-3</v>
      </c>
      <c r="AZ45" s="462">
        <v>6.0000000000000001E-3</v>
      </c>
      <c r="BA45" s="462">
        <v>6.0000000000000001E-3</v>
      </c>
      <c r="BB45" s="462">
        <v>6.0000000000000001E-3</v>
      </c>
      <c r="BC45" s="462">
        <v>6.0000000000000001E-3</v>
      </c>
      <c r="BD45" s="462">
        <v>6.0000000000000001E-3</v>
      </c>
      <c r="BE45" s="462">
        <v>6.0000000000000001E-3</v>
      </c>
      <c r="BF45" s="462">
        <v>6.0000000000000001E-3</v>
      </c>
      <c r="BG45" s="462">
        <v>6.0000000000000001E-3</v>
      </c>
      <c r="BH45" s="462">
        <v>6.0000000000000001E-3</v>
      </c>
      <c r="BI45" s="462">
        <v>6.0000000000000001E-3</v>
      </c>
      <c r="BJ45" s="462">
        <v>5.0000000000000001E-3</v>
      </c>
      <c r="BK45" s="462">
        <v>4.0000000000000001E-3</v>
      </c>
      <c r="BL45" s="463">
        <v>0.04</v>
      </c>
      <c r="BM45" s="465">
        <v>6.0000000000000001E-3</v>
      </c>
      <c r="BN45" s="462">
        <v>6.0000000000000001E-3</v>
      </c>
      <c r="BO45" s="462">
        <v>6.0000000000000001E-3</v>
      </c>
      <c r="BP45" s="462">
        <v>6.0000000000000001E-3</v>
      </c>
      <c r="BQ45" s="462">
        <v>6.0000000000000001E-3</v>
      </c>
      <c r="BR45" s="462">
        <v>6.0000000000000001E-3</v>
      </c>
      <c r="BS45" s="462">
        <v>6.0000000000000001E-3</v>
      </c>
      <c r="BT45" s="462">
        <v>6.0000000000000001E-3</v>
      </c>
      <c r="BU45" s="462">
        <v>6.0000000000000001E-3</v>
      </c>
      <c r="BV45" s="462">
        <v>6.0000000000000001E-3</v>
      </c>
      <c r="BW45" s="464">
        <v>6.0000000000000001E-3</v>
      </c>
      <c r="BX45" s="465">
        <v>8.9999999999999993E-3</v>
      </c>
      <c r="BY45" s="462">
        <v>8.0000000000000002E-3</v>
      </c>
      <c r="BZ45" s="462">
        <v>8.0000000000000002E-3</v>
      </c>
      <c r="CA45" s="463">
        <v>7.0000000000000001E-3</v>
      </c>
      <c r="CB45" s="400">
        <v>8.9999999999999993E-3</v>
      </c>
      <c r="CC45" s="462">
        <v>8.0000000000000002E-3</v>
      </c>
      <c r="CD45" s="462">
        <v>8.0000000000000002E-3</v>
      </c>
      <c r="CE45" s="464">
        <v>7.0000000000000001E-3</v>
      </c>
      <c r="CF45" s="465">
        <v>8.9999999999999993E-3</v>
      </c>
      <c r="CG45" s="462">
        <v>8.0000000000000002E-3</v>
      </c>
      <c r="CH45" s="462">
        <v>8.0000000000000002E-3</v>
      </c>
      <c r="CI45" s="463">
        <v>7.0000000000000001E-3</v>
      </c>
      <c r="CJ45" s="400">
        <v>8.9999999999999993E-3</v>
      </c>
      <c r="CK45" s="462">
        <v>8.0000000000000002E-3</v>
      </c>
      <c r="CL45" s="462">
        <v>8.0000000000000002E-3</v>
      </c>
      <c r="CM45" s="464">
        <v>7.0000000000000001E-3</v>
      </c>
      <c r="CN45" s="465">
        <v>1.7000000000000001E-2</v>
      </c>
      <c r="CO45" s="462">
        <v>1.4999999999999999E-2</v>
      </c>
      <c r="CP45" s="462">
        <v>1.4E-2</v>
      </c>
      <c r="CQ45" s="462">
        <v>1.2E-2</v>
      </c>
      <c r="CR45" s="462">
        <v>0.01</v>
      </c>
      <c r="CS45" s="462">
        <v>8.9999999999999993E-3</v>
      </c>
      <c r="CT45" s="462">
        <v>8.9999999999999993E-3</v>
      </c>
      <c r="CU45" s="462">
        <v>7.0000000000000001E-3</v>
      </c>
      <c r="CV45" s="462">
        <v>7.0000000000000001E-3</v>
      </c>
      <c r="CW45" s="462">
        <v>6.0000000000000001E-3</v>
      </c>
      <c r="CX45" s="462">
        <v>6.0000000000000001E-3</v>
      </c>
      <c r="CY45" s="462">
        <v>6.0000000000000001E-3</v>
      </c>
      <c r="CZ45" s="462">
        <v>6.0000000000000001E-3</v>
      </c>
      <c r="DA45" s="462">
        <v>6.0000000000000001E-3</v>
      </c>
      <c r="DB45" s="462">
        <v>6.0000000000000001E-3</v>
      </c>
      <c r="DC45" s="462">
        <v>6.0000000000000001E-3</v>
      </c>
      <c r="DD45" s="462">
        <v>6.0000000000000001E-3</v>
      </c>
      <c r="DE45" s="462">
        <v>6.0000000000000001E-3</v>
      </c>
      <c r="DF45" s="462">
        <v>6.0000000000000001E-3</v>
      </c>
      <c r="DG45" s="462">
        <v>6.0000000000000001E-3</v>
      </c>
      <c r="DH45" s="462">
        <v>5.0000000000000001E-3</v>
      </c>
      <c r="DI45" s="462">
        <v>4.0000000000000001E-3</v>
      </c>
      <c r="DJ45" s="463">
        <v>0.04</v>
      </c>
      <c r="DK45" s="728">
        <v>2.1000000000000001E-2</v>
      </c>
      <c r="DL45" s="713">
        <v>1.7000000000000001E-2</v>
      </c>
      <c r="DM45" s="713">
        <v>1.4E-2</v>
      </c>
      <c r="DN45" s="713">
        <v>1.2E-2</v>
      </c>
      <c r="DO45" s="713">
        <v>1.0999999999999999E-2</v>
      </c>
      <c r="DP45" s="713">
        <v>1.4999999999999999E-2</v>
      </c>
      <c r="DQ45" s="714">
        <v>1.4999999999999999E-2</v>
      </c>
      <c r="DR45" s="713">
        <v>4.0000000000000001E-3</v>
      </c>
      <c r="DS45" s="714">
        <v>4.0000000000000001E-3</v>
      </c>
      <c r="DT45" s="728">
        <v>6.0000000000000001E-3</v>
      </c>
      <c r="DU45" s="713">
        <v>5.0000000000000001E-3</v>
      </c>
      <c r="DV45" s="713">
        <v>6.0000000000000001E-3</v>
      </c>
      <c r="DW45" s="713">
        <v>6.0000000000000001E-3</v>
      </c>
      <c r="DX45" s="713">
        <v>5.0000000000000001E-3</v>
      </c>
      <c r="DY45" s="713">
        <v>5.0000000000000001E-3</v>
      </c>
      <c r="DZ45" s="713">
        <v>5.0000000000000001E-3</v>
      </c>
      <c r="EA45" s="713">
        <v>6.0000000000000001E-3</v>
      </c>
      <c r="EB45" s="713">
        <v>5.0000000000000001E-3</v>
      </c>
      <c r="EC45" s="714">
        <v>5.0000000000000001E-3</v>
      </c>
      <c r="ED45" s="713">
        <v>1.4E-2</v>
      </c>
      <c r="EE45" s="714">
        <v>1.7999999999999999E-2</v>
      </c>
      <c r="EF45" s="713">
        <v>2.5000000000000001E-2</v>
      </c>
      <c r="EG45" s="714">
        <v>1.7999999999999999E-2</v>
      </c>
      <c r="EH45" s="728">
        <v>1.4E-2</v>
      </c>
      <c r="EI45" s="713">
        <v>1.2E-2</v>
      </c>
      <c r="EJ45" s="713">
        <v>0.01</v>
      </c>
      <c r="EK45" s="713">
        <v>8.0000000000000002E-3</v>
      </c>
      <c r="EL45" s="713">
        <v>8.0000000000000002E-3</v>
      </c>
      <c r="EM45" s="713">
        <v>7.0000000000000001E-3</v>
      </c>
      <c r="EN45" s="713">
        <v>7.0000000000000001E-3</v>
      </c>
      <c r="EO45" s="713">
        <v>6.0000000000000001E-3</v>
      </c>
      <c r="EP45" s="713">
        <v>5.0000000000000001E-3</v>
      </c>
      <c r="EQ45" s="713">
        <v>5.0000000000000001E-3</v>
      </c>
      <c r="ER45" s="713">
        <v>4.0000000000000001E-3</v>
      </c>
      <c r="ES45" s="714">
        <v>4.0000000000000001E-3</v>
      </c>
      <c r="ET45" s="728">
        <v>8.9999999999999993E-3</v>
      </c>
      <c r="EU45" s="728">
        <v>8.9999999999999993E-3</v>
      </c>
      <c r="EV45" s="713">
        <v>7.0000000000000001E-3</v>
      </c>
      <c r="EW45" s="713">
        <v>6.0000000000000001E-3</v>
      </c>
      <c r="EX45" s="713">
        <v>4.0000000000000001E-3</v>
      </c>
      <c r="EY45" s="728">
        <v>1.3000000000000001E-2</v>
      </c>
      <c r="EZ45" s="713">
        <v>1.1000000000000001E-2</v>
      </c>
      <c r="FA45" s="713">
        <v>0.01</v>
      </c>
      <c r="FB45" s="713">
        <v>1.0999999999999999E-2</v>
      </c>
      <c r="FC45" s="713">
        <v>1.0999999999999999E-2</v>
      </c>
      <c r="FD45" s="713">
        <v>1.2E-2</v>
      </c>
      <c r="FE45" s="714">
        <v>1.2E-2</v>
      </c>
    </row>
    <row r="46" spans="1:161" s="7" customFormat="1" ht="15" customHeight="1" x14ac:dyDescent="0.3">
      <c r="A46" s="49" t="s">
        <v>64</v>
      </c>
      <c r="B46" s="59" t="s">
        <v>23</v>
      </c>
      <c r="C46" s="120" t="s">
        <v>110</v>
      </c>
      <c r="D46" s="523" t="s">
        <v>61</v>
      </c>
      <c r="E46" s="102">
        <f t="shared" si="7"/>
        <v>0.26608833731485837</v>
      </c>
      <c r="F46" s="98">
        <f t="shared" si="10"/>
        <v>2.2090185553279209E-2</v>
      </c>
      <c r="G46" s="98">
        <f t="shared" si="8"/>
        <v>0.19768518518518516</v>
      </c>
      <c r="H46" s="378">
        <f t="shared" si="9"/>
        <v>0.30150753768844224</v>
      </c>
      <c r="I46" s="458">
        <v>0.2857142857142857</v>
      </c>
      <c r="J46" s="455">
        <v>0.2</v>
      </c>
      <c r="K46" s="455">
        <v>0.3</v>
      </c>
      <c r="L46" s="455">
        <v>0.22500000000000001</v>
      </c>
      <c r="M46" s="455">
        <v>0.28559999999999997</v>
      </c>
      <c r="N46" s="455">
        <v>0.23666666666666666</v>
      </c>
      <c r="O46" s="461">
        <v>0.20285714285714285</v>
      </c>
      <c r="P46" s="458">
        <v>0.27343286188231164</v>
      </c>
      <c r="Q46" s="455">
        <v>0.295875</v>
      </c>
      <c r="R46" s="455">
        <v>0.23670000000000002</v>
      </c>
      <c r="S46" s="456">
        <v>0.22542857142857145</v>
      </c>
      <c r="T46" s="455">
        <v>0.27727272727272728</v>
      </c>
      <c r="U46" s="455">
        <v>0.24399999999999999</v>
      </c>
      <c r="V46" s="455">
        <v>0.27058823529411763</v>
      </c>
      <c r="W46" s="456">
        <v>0.24210526315789471</v>
      </c>
      <c r="X46" s="458">
        <v>0.29333333333333333</v>
      </c>
      <c r="Y46" s="461">
        <v>0.22000000000000003</v>
      </c>
      <c r="Z46" s="458">
        <v>0.29666666666666669</v>
      </c>
      <c r="AA46" s="455">
        <v>0.29699497487437182</v>
      </c>
      <c r="AB46" s="455">
        <v>0.25040000000000001</v>
      </c>
      <c r="AC46" s="455">
        <v>0.26906249999999998</v>
      </c>
      <c r="AD46" s="455">
        <v>0.2982456140350877</v>
      </c>
      <c r="AE46" s="455">
        <v>0.3</v>
      </c>
      <c r="AF46" s="456">
        <v>0.23286573146292586</v>
      </c>
      <c r="AG46" s="689">
        <v>0.29680000000000001</v>
      </c>
      <c r="AH46" s="458">
        <v>0.26196319018404907</v>
      </c>
      <c r="AI46" s="455">
        <v>0.19768518518518516</v>
      </c>
      <c r="AJ46" s="455">
        <v>0.3</v>
      </c>
      <c r="AK46" s="455">
        <v>0.3</v>
      </c>
      <c r="AL46" s="456">
        <v>0.3</v>
      </c>
      <c r="AM46" s="386">
        <v>0.2778181818181818</v>
      </c>
      <c r="AN46" s="458">
        <v>0.29012345679012347</v>
      </c>
      <c r="AO46" s="456">
        <v>0.21363636363636365</v>
      </c>
      <c r="AP46" s="475">
        <v>0.30150753768844224</v>
      </c>
      <c r="AQ46" s="476">
        <v>0.29083665338645415</v>
      </c>
      <c r="AR46" s="476">
        <v>0.28999999999999998</v>
      </c>
      <c r="AS46" s="476">
        <v>0.29142857142857143</v>
      </c>
      <c r="AT46" s="476">
        <v>0.2911111111111111</v>
      </c>
      <c r="AU46" s="476">
        <v>0.29258517034068138</v>
      </c>
      <c r="AV46" s="476">
        <v>0.29333333333333333</v>
      </c>
      <c r="AW46" s="476">
        <v>0.29500000000000004</v>
      </c>
      <c r="AX46" s="476">
        <v>0.26222222222222225</v>
      </c>
      <c r="AY46" s="476">
        <v>0.23600000000000002</v>
      </c>
      <c r="AZ46" s="476">
        <v>0.24727272727272726</v>
      </c>
      <c r="BA46" s="476">
        <v>0.25666666666666665</v>
      </c>
      <c r="BB46" s="476">
        <v>0.26384615384615384</v>
      </c>
      <c r="BC46" s="476">
        <v>0.27071428571428569</v>
      </c>
      <c r="BD46" s="476">
        <v>0.27599999999999997</v>
      </c>
      <c r="BE46" s="476">
        <v>0.28125</v>
      </c>
      <c r="BF46" s="476">
        <v>0.28588235294117648</v>
      </c>
      <c r="BG46" s="476">
        <v>0.28944444444444445</v>
      </c>
      <c r="BH46" s="476">
        <v>0.29597989949748743</v>
      </c>
      <c r="BI46" s="476">
        <v>0.25608695652173913</v>
      </c>
      <c r="BJ46" s="476">
        <v>0.2356</v>
      </c>
      <c r="BK46" s="476">
        <v>0.27</v>
      </c>
      <c r="BL46" s="521">
        <v>0.29485714285714287</v>
      </c>
      <c r="BM46" s="475">
        <v>0.24</v>
      </c>
      <c r="BN46" s="476">
        <v>0.25</v>
      </c>
      <c r="BO46" s="476">
        <v>0.26</v>
      </c>
      <c r="BP46" s="476">
        <v>0.27</v>
      </c>
      <c r="BQ46" s="476">
        <v>0.28000000000000003</v>
      </c>
      <c r="BR46" s="476">
        <v>0.28000000000000003</v>
      </c>
      <c r="BS46" s="476">
        <v>0.28999999999999998</v>
      </c>
      <c r="BT46" s="476">
        <v>0.28999999999999998</v>
      </c>
      <c r="BU46" s="476">
        <v>0.3</v>
      </c>
      <c r="BV46" s="476">
        <v>0.26</v>
      </c>
      <c r="BW46" s="685">
        <v>0.24</v>
      </c>
      <c r="BX46" s="475">
        <v>0.29696969696969694</v>
      </c>
      <c r="BY46" s="476">
        <v>0.26727272727272727</v>
      </c>
      <c r="BZ46" s="476">
        <v>0.24297520661157024</v>
      </c>
      <c r="CA46" s="521">
        <v>0.22272727272727272</v>
      </c>
      <c r="CB46" s="617">
        <v>0.29333333333333333</v>
      </c>
      <c r="CC46" s="476">
        <v>0.26400000000000001</v>
      </c>
      <c r="CD46" s="476">
        <v>0.24</v>
      </c>
      <c r="CE46" s="685">
        <v>0.22</v>
      </c>
      <c r="CF46" s="475">
        <v>0.29494949494949496</v>
      </c>
      <c r="CG46" s="476">
        <v>0.26545454545454544</v>
      </c>
      <c r="CH46" s="476">
        <v>0.24132231404958676</v>
      </c>
      <c r="CI46" s="521">
        <v>0.22121212121212119</v>
      </c>
      <c r="CJ46" s="617">
        <v>0.28666666666666668</v>
      </c>
      <c r="CK46" s="476">
        <v>0.25800000000000001</v>
      </c>
      <c r="CL46" s="476">
        <v>0.23454545454545456</v>
      </c>
      <c r="CM46" s="685">
        <v>0.215</v>
      </c>
      <c r="CN46" s="475">
        <v>0.3</v>
      </c>
      <c r="CO46" s="476">
        <v>0.2553784860557769</v>
      </c>
      <c r="CP46" s="476">
        <v>0.2478481182795699</v>
      </c>
      <c r="CQ46" s="476">
        <v>0.24233755760368661</v>
      </c>
      <c r="CR46" s="476">
        <v>0.23499014336917562</v>
      </c>
      <c r="CS46" s="476">
        <v>0.23246492985971945</v>
      </c>
      <c r="CT46" s="476">
        <v>0.24521643286573147</v>
      </c>
      <c r="CU46" s="476">
        <v>0.26096643286573146</v>
      </c>
      <c r="CV46" s="476">
        <v>0.26621643286573149</v>
      </c>
      <c r="CW46" s="476">
        <v>0.26979999999999998</v>
      </c>
      <c r="CX46" s="476">
        <v>0.27509127565982405</v>
      </c>
      <c r="CY46" s="476">
        <v>0.27896471774193549</v>
      </c>
      <c r="CZ46" s="476">
        <v>0.28224224565756822</v>
      </c>
      <c r="DA46" s="476">
        <v>0.28505155529953918</v>
      </c>
      <c r="DB46" s="476">
        <v>0.28748629032258066</v>
      </c>
      <c r="DC46" s="476">
        <v>0.28961668346774194</v>
      </c>
      <c r="DD46" s="476">
        <v>0.29149644212523718</v>
      </c>
      <c r="DE46" s="476">
        <v>0.29316733870967743</v>
      </c>
      <c r="DF46" s="476">
        <v>0.29587939698492466</v>
      </c>
      <c r="DG46" s="476">
        <v>0.25600000000000001</v>
      </c>
      <c r="DH46" s="476">
        <v>0.23552000000000001</v>
      </c>
      <c r="DI46" s="476">
        <v>0.27015</v>
      </c>
      <c r="DJ46" s="521">
        <v>0.29488571428571425</v>
      </c>
      <c r="DK46" s="730">
        <v>0.21543624161073824</v>
      </c>
      <c r="DL46" s="719">
        <v>0.25616778523489947</v>
      </c>
      <c r="DM46" s="719">
        <v>0.27996778523489918</v>
      </c>
      <c r="DN46" s="719">
        <v>0.27500000000000002</v>
      </c>
      <c r="DO46" s="719">
        <v>0.23157894736842108</v>
      </c>
      <c r="DP46" s="719">
        <v>0.28145833333333331</v>
      </c>
      <c r="DQ46" s="720">
        <v>0.29470085470085466</v>
      </c>
      <c r="DR46" s="719">
        <v>0.27538461538461534</v>
      </c>
      <c r="DS46" s="720">
        <v>0.29399999999999998</v>
      </c>
      <c r="DT46" s="730">
        <v>0.24</v>
      </c>
      <c r="DU46" s="719">
        <v>0.25666666666666665</v>
      </c>
      <c r="DV46" s="719">
        <v>0.27</v>
      </c>
      <c r="DW46" s="719">
        <v>0.28000000000000003</v>
      </c>
      <c r="DX46" s="719">
        <v>0.28000000000000003</v>
      </c>
      <c r="DY46" s="719">
        <v>0.28999999999999998</v>
      </c>
      <c r="DZ46" s="719">
        <v>0.28999999999999998</v>
      </c>
      <c r="EA46" s="719">
        <v>0.29597989949748743</v>
      </c>
      <c r="EB46" s="719">
        <v>0.26</v>
      </c>
      <c r="EC46" s="720">
        <v>0.2356</v>
      </c>
      <c r="ED46" s="719">
        <v>0.27898550724637683</v>
      </c>
      <c r="EE46" s="720">
        <v>0.3</v>
      </c>
      <c r="EF46" s="719">
        <v>0.28848484848484846</v>
      </c>
      <c r="EG46" s="720">
        <v>0.22000000000000003</v>
      </c>
      <c r="EH46" s="730">
        <v>0.29208333333333331</v>
      </c>
      <c r="EI46" s="719">
        <v>0.27933333333333338</v>
      </c>
      <c r="EJ46" s="719">
        <v>0.28625</v>
      </c>
      <c r="EK46" s="719">
        <v>0.29039999999999999</v>
      </c>
      <c r="EL46" s="719">
        <v>0.28526666666666667</v>
      </c>
      <c r="EM46" s="719">
        <v>0.28191884057971017</v>
      </c>
      <c r="EN46" s="719">
        <v>0.28013333333333329</v>
      </c>
      <c r="EO46" s="719">
        <v>0.27671111111111113</v>
      </c>
      <c r="EP46" s="719">
        <v>0.27500000000000002</v>
      </c>
      <c r="EQ46" s="719">
        <v>0.25</v>
      </c>
      <c r="ER46" s="719">
        <v>0.27538461538461534</v>
      </c>
      <c r="ES46" s="720">
        <v>0.29399999999999998</v>
      </c>
      <c r="ET46" s="730">
        <v>0.3</v>
      </c>
      <c r="EU46" s="730">
        <v>0.29866666666666664</v>
      </c>
      <c r="EV46" s="719">
        <v>0.29461753210496927</v>
      </c>
      <c r="EW46" s="719">
        <v>0.2837777777777778</v>
      </c>
      <c r="EX46" s="719">
        <v>0.28079999999999999</v>
      </c>
      <c r="EY46" s="730">
        <v>0.29530201342281881</v>
      </c>
      <c r="EZ46" s="719">
        <v>0.25282178217821782</v>
      </c>
      <c r="FA46" s="719">
        <v>0.22800000000000001</v>
      </c>
      <c r="FB46" s="719">
        <v>0.25516304347826091</v>
      </c>
      <c r="FC46" s="719">
        <v>0.27048054919908471</v>
      </c>
      <c r="FD46" s="719">
        <v>0.28750000000000003</v>
      </c>
      <c r="FE46" s="720">
        <v>0.23589743589743592</v>
      </c>
    </row>
    <row r="47" spans="1:161" s="7" customFormat="1" ht="15" customHeight="1" x14ac:dyDescent="0.3">
      <c r="A47" s="49" t="s">
        <v>3</v>
      </c>
      <c r="B47" s="44" t="s">
        <v>24</v>
      </c>
      <c r="C47" s="120" t="s">
        <v>111</v>
      </c>
      <c r="D47" s="523" t="s">
        <v>52</v>
      </c>
      <c r="E47" s="103">
        <f t="shared" si="7"/>
        <v>70.000603078982579</v>
      </c>
      <c r="F47" s="96">
        <f t="shared" si="10"/>
        <v>3.9561577646307713</v>
      </c>
      <c r="G47" s="96">
        <f t="shared" si="8"/>
        <v>49.7</v>
      </c>
      <c r="H47" s="379">
        <f t="shared" si="9"/>
        <v>78.900000000000006</v>
      </c>
      <c r="I47" s="459">
        <v>74.2</v>
      </c>
      <c r="J47" s="454">
        <v>74.099999999999994</v>
      </c>
      <c r="K47" s="454">
        <v>74.3</v>
      </c>
      <c r="L47" s="454">
        <v>74.8</v>
      </c>
      <c r="M47" s="454">
        <v>73.2</v>
      </c>
      <c r="N47" s="454">
        <v>72.45</v>
      </c>
      <c r="O47" s="460">
        <v>71.8</v>
      </c>
      <c r="P47" s="459">
        <v>74.432530120481928</v>
      </c>
      <c r="Q47" s="454">
        <v>75.09518072289157</v>
      </c>
      <c r="R47" s="454">
        <v>76.3</v>
      </c>
      <c r="S47" s="457">
        <v>74.599999999999994</v>
      </c>
      <c r="T47" s="454">
        <v>73.599999999999994</v>
      </c>
      <c r="U47" s="454">
        <v>74.3</v>
      </c>
      <c r="V47" s="454">
        <v>78.599999999999994</v>
      </c>
      <c r="W47" s="457">
        <v>78.599999999999994</v>
      </c>
      <c r="X47" s="459">
        <v>75</v>
      </c>
      <c r="Y47" s="460">
        <v>74.3</v>
      </c>
      <c r="Z47" s="459">
        <v>75.599999999999994</v>
      </c>
      <c r="AA47" s="454">
        <v>76.644000000000005</v>
      </c>
      <c r="AB47" s="454">
        <v>77.400000000000006</v>
      </c>
      <c r="AC47" s="454">
        <v>77</v>
      </c>
      <c r="AD47" s="454">
        <v>76.599999999999994</v>
      </c>
      <c r="AE47" s="454">
        <v>76.3</v>
      </c>
      <c r="AF47" s="457">
        <v>76.099999999999994</v>
      </c>
      <c r="AG47" s="690">
        <v>78.900000000000006</v>
      </c>
      <c r="AH47" s="459">
        <v>49.8</v>
      </c>
      <c r="AI47" s="454">
        <v>50.1</v>
      </c>
      <c r="AJ47" s="454">
        <v>50.3</v>
      </c>
      <c r="AK47" s="454">
        <v>50</v>
      </c>
      <c r="AL47" s="457">
        <v>49.7</v>
      </c>
      <c r="AM47" s="391">
        <v>66.400000000000006</v>
      </c>
      <c r="AN47" s="459">
        <v>50.2</v>
      </c>
      <c r="AO47" s="457">
        <v>50.6</v>
      </c>
      <c r="AP47" s="477">
        <v>72.900000000000006</v>
      </c>
      <c r="AQ47" s="478">
        <v>72.900000000000006</v>
      </c>
      <c r="AR47" s="478">
        <v>72.900000000000006</v>
      </c>
      <c r="AS47" s="478">
        <v>73</v>
      </c>
      <c r="AT47" s="454">
        <v>73.2</v>
      </c>
      <c r="AU47" s="478">
        <v>73.400000000000006</v>
      </c>
      <c r="AV47" s="478">
        <v>73.8</v>
      </c>
      <c r="AW47" s="478">
        <v>75</v>
      </c>
      <c r="AX47" s="478">
        <v>75</v>
      </c>
      <c r="AY47" s="478">
        <v>75</v>
      </c>
      <c r="AZ47" s="478">
        <v>75.333333333333329</v>
      </c>
      <c r="BA47" s="454">
        <v>75.666666666666671</v>
      </c>
      <c r="BB47" s="478">
        <v>74</v>
      </c>
      <c r="BC47" s="478">
        <v>74.3</v>
      </c>
      <c r="BD47" s="478">
        <v>74.7</v>
      </c>
      <c r="BE47" s="478">
        <v>75</v>
      </c>
      <c r="BF47" s="454">
        <v>75.3</v>
      </c>
      <c r="BG47" s="454">
        <v>75.7</v>
      </c>
      <c r="BH47" s="454">
        <v>78.3</v>
      </c>
      <c r="BI47" s="454">
        <v>77.2</v>
      </c>
      <c r="BJ47" s="478">
        <v>78.3</v>
      </c>
      <c r="BK47" s="454">
        <v>77.7</v>
      </c>
      <c r="BL47" s="479">
        <v>77.7</v>
      </c>
      <c r="BM47" s="477">
        <v>73.5</v>
      </c>
      <c r="BN47" s="478">
        <v>73.400000000000006</v>
      </c>
      <c r="BO47" s="478">
        <v>73.3</v>
      </c>
      <c r="BP47" s="478">
        <v>73.099999999999994</v>
      </c>
      <c r="BQ47" s="478">
        <v>73</v>
      </c>
      <c r="BR47" s="478">
        <v>73</v>
      </c>
      <c r="BS47" s="478">
        <v>72.900000000000006</v>
      </c>
      <c r="BT47" s="478">
        <v>72.8</v>
      </c>
      <c r="BU47" s="478">
        <v>72.599999999999994</v>
      </c>
      <c r="BV47" s="478">
        <v>73.599999999999994</v>
      </c>
      <c r="BW47" s="686">
        <v>74.2</v>
      </c>
      <c r="BX47" s="477">
        <v>71.099999999999994</v>
      </c>
      <c r="BY47" s="478">
        <v>71.2</v>
      </c>
      <c r="BZ47" s="478">
        <v>71.2</v>
      </c>
      <c r="CA47" s="479">
        <v>71.3</v>
      </c>
      <c r="CB47" s="416">
        <v>74.3</v>
      </c>
      <c r="CC47" s="478">
        <v>74.099999999999994</v>
      </c>
      <c r="CD47" s="478">
        <v>73.8</v>
      </c>
      <c r="CE47" s="686">
        <v>73.599999999999994</v>
      </c>
      <c r="CF47" s="477">
        <v>74.400000000000006</v>
      </c>
      <c r="CG47" s="478">
        <v>73.900000000000006</v>
      </c>
      <c r="CH47" s="478">
        <v>73.5</v>
      </c>
      <c r="CI47" s="457">
        <v>73</v>
      </c>
      <c r="CJ47" s="618">
        <v>75.099999999999994</v>
      </c>
      <c r="CK47" s="478">
        <v>74.599999999999994</v>
      </c>
      <c r="CL47" s="478">
        <v>74.2</v>
      </c>
      <c r="CM47" s="686">
        <v>73.7</v>
      </c>
      <c r="CN47" s="459">
        <v>72.900000000000006</v>
      </c>
      <c r="CO47" s="454">
        <v>74</v>
      </c>
      <c r="CP47" s="454">
        <v>73.875771169354834</v>
      </c>
      <c r="CQ47" s="454">
        <v>73.749007056451617</v>
      </c>
      <c r="CR47" s="478">
        <v>73.495478830645169</v>
      </c>
      <c r="CS47" s="454">
        <v>73.371250000000003</v>
      </c>
      <c r="CT47" s="478">
        <v>73.397309619238484</v>
      </c>
      <c r="CU47" s="478">
        <v>73.448912825651306</v>
      </c>
      <c r="CV47" s="478">
        <v>73.474714428857723</v>
      </c>
      <c r="CW47" s="478">
        <v>73.5</v>
      </c>
      <c r="CX47" s="478">
        <v>73.407459677419354</v>
      </c>
      <c r="CY47" s="478">
        <v>73.316733870967738</v>
      </c>
      <c r="CZ47" s="478">
        <v>73.226008064516122</v>
      </c>
      <c r="DA47" s="478">
        <v>73.135282258064507</v>
      </c>
      <c r="DB47" s="478">
        <v>73.044556451612905</v>
      </c>
      <c r="DC47" s="478">
        <v>72.95383064516129</v>
      </c>
      <c r="DD47" s="478">
        <v>72.863104838709674</v>
      </c>
      <c r="DE47" s="478">
        <v>72.772379032258058</v>
      </c>
      <c r="DF47" s="478">
        <v>72.599999999999994</v>
      </c>
      <c r="DG47" s="478">
        <v>73.572549019607848</v>
      </c>
      <c r="DH47" s="478">
        <v>74.2</v>
      </c>
      <c r="DI47" s="478">
        <v>73.599999999999994</v>
      </c>
      <c r="DJ47" s="479">
        <v>73</v>
      </c>
      <c r="DK47" s="729">
        <v>74.400000000000006</v>
      </c>
      <c r="DL47" s="716">
        <v>74.160402684563763</v>
      </c>
      <c r="DM47" s="716">
        <v>73.925503355704706</v>
      </c>
      <c r="DN47" s="744">
        <v>73.724999999999994</v>
      </c>
      <c r="DO47" s="744">
        <v>73.8</v>
      </c>
      <c r="DP47" s="744">
        <v>73.8</v>
      </c>
      <c r="DQ47" s="717">
        <v>73.8</v>
      </c>
      <c r="DR47" s="744">
        <v>76.650000000000006</v>
      </c>
      <c r="DS47" s="717">
        <v>74.2</v>
      </c>
      <c r="DT47" s="729">
        <v>73</v>
      </c>
      <c r="DU47" s="716">
        <v>75.666666666666671</v>
      </c>
      <c r="DV47" s="716">
        <v>74.3</v>
      </c>
      <c r="DW47" s="744">
        <v>74.7</v>
      </c>
      <c r="DX47" s="744">
        <v>75</v>
      </c>
      <c r="DY47" s="744">
        <v>75.3</v>
      </c>
      <c r="DZ47" s="716">
        <v>75.7</v>
      </c>
      <c r="EA47" s="716">
        <v>78.3</v>
      </c>
      <c r="EB47" s="716">
        <v>73.5</v>
      </c>
      <c r="EC47" s="717">
        <v>78.3</v>
      </c>
      <c r="ED47" s="744">
        <v>72.900000000000006</v>
      </c>
      <c r="EE47" s="717">
        <v>75.5</v>
      </c>
      <c r="EF47" s="744">
        <v>69.5</v>
      </c>
      <c r="EG47" s="717">
        <v>70</v>
      </c>
      <c r="EH47" s="729">
        <v>75.400000000000006</v>
      </c>
      <c r="EI47" s="716">
        <v>74.8</v>
      </c>
      <c r="EJ47" s="716">
        <v>74.849999999999994</v>
      </c>
      <c r="EK47" s="744">
        <v>74.900000000000006</v>
      </c>
      <c r="EL47" s="744">
        <v>75.740000000000009</v>
      </c>
      <c r="EM47" s="744">
        <v>76.495999999999995</v>
      </c>
      <c r="EN47" s="716">
        <v>77</v>
      </c>
      <c r="EO47" s="716">
        <v>78.259999999999991</v>
      </c>
      <c r="EP47" s="716">
        <v>79.099999999999994</v>
      </c>
      <c r="EQ47" s="716">
        <v>79.099999999999994</v>
      </c>
      <c r="ER47" s="744">
        <v>76.650000000000006</v>
      </c>
      <c r="ES47" s="745">
        <v>74.2</v>
      </c>
      <c r="ET47" s="729">
        <v>77.099999999999994</v>
      </c>
      <c r="EU47" s="729">
        <v>74.8</v>
      </c>
      <c r="EV47" s="716">
        <v>74.63666666666667</v>
      </c>
      <c r="EW47" s="716">
        <v>74.575000000000003</v>
      </c>
      <c r="EX47" s="744">
        <v>74.5</v>
      </c>
      <c r="EY47" s="729">
        <v>49.9</v>
      </c>
      <c r="EZ47" s="716">
        <v>49.8</v>
      </c>
      <c r="FA47" s="716">
        <v>49.7</v>
      </c>
      <c r="FB47" s="744">
        <v>53</v>
      </c>
      <c r="FC47" s="744">
        <v>55.5</v>
      </c>
      <c r="FD47" s="744">
        <v>60.4</v>
      </c>
      <c r="FE47" s="717">
        <v>57.8</v>
      </c>
    </row>
    <row r="48" spans="1:161" s="7" customFormat="1" ht="15" x14ac:dyDescent="0.3">
      <c r="A48" s="49" t="s">
        <v>4</v>
      </c>
      <c r="B48" s="44" t="s">
        <v>25</v>
      </c>
      <c r="C48" s="120" t="s">
        <v>111</v>
      </c>
      <c r="D48" s="523" t="s">
        <v>52</v>
      </c>
      <c r="E48" s="103">
        <f t="shared" si="7"/>
        <v>69.01359370816597</v>
      </c>
      <c r="F48" s="96">
        <f t="shared" si="10"/>
        <v>4.6107415418981805</v>
      </c>
      <c r="G48" s="96">
        <f t="shared" si="8"/>
        <v>50.2</v>
      </c>
      <c r="H48" s="379">
        <f t="shared" si="9"/>
        <v>78.5</v>
      </c>
      <c r="I48" s="459">
        <v>71.900000000000006</v>
      </c>
      <c r="J48" s="454">
        <v>71.900000000000006</v>
      </c>
      <c r="K48" s="454">
        <v>73.7</v>
      </c>
      <c r="L48" s="454">
        <v>73.7</v>
      </c>
      <c r="M48" s="454">
        <v>73</v>
      </c>
      <c r="N48" s="454">
        <v>73</v>
      </c>
      <c r="O48" s="460">
        <v>73</v>
      </c>
      <c r="P48" s="459">
        <v>75.843373493975903</v>
      </c>
      <c r="Q48" s="454">
        <v>74.2</v>
      </c>
      <c r="R48" s="454">
        <v>74.2</v>
      </c>
      <c r="S48" s="457">
        <v>73.099999999999994</v>
      </c>
      <c r="T48" s="454">
        <v>74.3</v>
      </c>
      <c r="U48" s="454">
        <v>74.3</v>
      </c>
      <c r="V48" s="454">
        <v>72.400000000000006</v>
      </c>
      <c r="W48" s="457">
        <v>72.400000000000006</v>
      </c>
      <c r="X48" s="459">
        <v>73.599999999999994</v>
      </c>
      <c r="Y48" s="460">
        <v>73.599999999999994</v>
      </c>
      <c r="Z48" s="459">
        <v>72.3</v>
      </c>
      <c r="AA48" s="454">
        <v>74.445999999999998</v>
      </c>
      <c r="AB48" s="454">
        <v>76</v>
      </c>
      <c r="AC48" s="454">
        <v>75.2</v>
      </c>
      <c r="AD48" s="454">
        <v>74.400000000000006</v>
      </c>
      <c r="AE48" s="454">
        <v>73.599999999999994</v>
      </c>
      <c r="AF48" s="457">
        <v>73.3</v>
      </c>
      <c r="AG48" s="690">
        <v>78.5</v>
      </c>
      <c r="AH48" s="459">
        <v>50.8</v>
      </c>
      <c r="AI48" s="454">
        <v>50.8</v>
      </c>
      <c r="AJ48" s="454">
        <v>50.2</v>
      </c>
      <c r="AK48" s="454">
        <v>50.2</v>
      </c>
      <c r="AL48" s="457">
        <v>50.2</v>
      </c>
      <c r="AM48" s="391">
        <v>65.3</v>
      </c>
      <c r="AN48" s="459">
        <v>51.7</v>
      </c>
      <c r="AO48" s="457">
        <v>51.7</v>
      </c>
      <c r="AP48" s="477">
        <v>72.099999999999994</v>
      </c>
      <c r="AQ48" s="478">
        <v>73</v>
      </c>
      <c r="AR48" s="478">
        <v>72.599999999999994</v>
      </c>
      <c r="AS48" s="478">
        <v>72.099999999999994</v>
      </c>
      <c r="AT48" s="454">
        <v>71.7</v>
      </c>
      <c r="AU48" s="478">
        <v>71.599999999999994</v>
      </c>
      <c r="AV48" s="478">
        <v>71.599999999999994</v>
      </c>
      <c r="AW48" s="478">
        <v>72</v>
      </c>
      <c r="AX48" s="478">
        <v>72</v>
      </c>
      <c r="AY48" s="478">
        <v>72</v>
      </c>
      <c r="AZ48" s="478">
        <v>72.414141414141412</v>
      </c>
      <c r="BA48" s="454">
        <v>72.828282828282823</v>
      </c>
      <c r="BB48" s="478">
        <v>72.599999999999994</v>
      </c>
      <c r="BC48" s="478">
        <v>73</v>
      </c>
      <c r="BD48" s="478">
        <v>73.400000000000006</v>
      </c>
      <c r="BE48" s="478">
        <v>73.8</v>
      </c>
      <c r="BF48" s="454">
        <v>74.2</v>
      </c>
      <c r="BG48" s="454">
        <v>74.599999999999994</v>
      </c>
      <c r="BH48" s="454">
        <v>76.099999999999994</v>
      </c>
      <c r="BI48" s="454">
        <v>75.3</v>
      </c>
      <c r="BJ48" s="478">
        <v>76.099999999999994</v>
      </c>
      <c r="BK48" s="454">
        <v>75.3</v>
      </c>
      <c r="BL48" s="479">
        <v>75.3</v>
      </c>
      <c r="BM48" s="477">
        <v>71.400000000000006</v>
      </c>
      <c r="BN48" s="478">
        <v>71.599999999999994</v>
      </c>
      <c r="BO48" s="478">
        <v>72.2</v>
      </c>
      <c r="BP48" s="478">
        <v>73</v>
      </c>
      <c r="BQ48" s="478">
        <v>73.400000000000006</v>
      </c>
      <c r="BR48" s="478">
        <v>73.8</v>
      </c>
      <c r="BS48" s="478">
        <v>74.2</v>
      </c>
      <c r="BT48" s="478">
        <v>74.599999999999994</v>
      </c>
      <c r="BU48" s="478">
        <v>75.3</v>
      </c>
      <c r="BV48" s="478">
        <v>75.3</v>
      </c>
      <c r="BW48" s="686">
        <v>75.3</v>
      </c>
      <c r="BX48" s="477">
        <v>75.5</v>
      </c>
      <c r="BY48" s="478">
        <v>75.5</v>
      </c>
      <c r="BZ48" s="478">
        <v>75.5</v>
      </c>
      <c r="CA48" s="479">
        <v>75.5</v>
      </c>
      <c r="CB48" s="416">
        <v>74.7</v>
      </c>
      <c r="CC48" s="478">
        <v>74.7</v>
      </c>
      <c r="CD48" s="478">
        <v>74.7</v>
      </c>
      <c r="CE48" s="686">
        <v>74.7</v>
      </c>
      <c r="CF48" s="477">
        <v>76.3</v>
      </c>
      <c r="CG48" s="478">
        <v>76.3</v>
      </c>
      <c r="CH48" s="478">
        <v>76.3</v>
      </c>
      <c r="CI48" s="457">
        <v>76.3</v>
      </c>
      <c r="CJ48" s="618">
        <v>75.099999999999994</v>
      </c>
      <c r="CK48" s="478">
        <v>75.099999999999994</v>
      </c>
      <c r="CL48" s="478">
        <v>75.099999999999994</v>
      </c>
      <c r="CM48" s="686">
        <v>75.099999999999994</v>
      </c>
      <c r="CN48" s="459">
        <v>72.099999999999994</v>
      </c>
      <c r="CO48" s="454">
        <v>73.3</v>
      </c>
      <c r="CP48" s="454">
        <v>72.969200604838704</v>
      </c>
      <c r="CQ48" s="454">
        <v>72.631650201612899</v>
      </c>
      <c r="CR48" s="478">
        <v>71.956549395161289</v>
      </c>
      <c r="CS48" s="454">
        <v>71.625749999999996</v>
      </c>
      <c r="CT48" s="478">
        <v>71.580057114228453</v>
      </c>
      <c r="CU48" s="478">
        <v>71.489576152304608</v>
      </c>
      <c r="CV48" s="478">
        <v>71.444335671342685</v>
      </c>
      <c r="CW48" s="478">
        <v>71.400000000000006</v>
      </c>
      <c r="CX48" s="478">
        <v>71.801008064516139</v>
      </c>
      <c r="CY48" s="478">
        <v>72.19415322580646</v>
      </c>
      <c r="CZ48" s="478">
        <v>72.58729838709678</v>
      </c>
      <c r="DA48" s="478">
        <v>72.9804435483871</v>
      </c>
      <c r="DB48" s="478">
        <v>73.373588709677421</v>
      </c>
      <c r="DC48" s="478">
        <v>73.766733870967741</v>
      </c>
      <c r="DD48" s="478">
        <v>74.159879032258061</v>
      </c>
      <c r="DE48" s="478">
        <v>74.553024193548382</v>
      </c>
      <c r="DF48" s="478">
        <v>75.3</v>
      </c>
      <c r="DG48" s="478">
        <v>75.3</v>
      </c>
      <c r="DH48" s="478">
        <v>75.3</v>
      </c>
      <c r="DI48" s="478">
        <v>74.5</v>
      </c>
      <c r="DJ48" s="479">
        <v>73.7</v>
      </c>
      <c r="DK48" s="731">
        <v>75.400000000000006</v>
      </c>
      <c r="DL48" s="722">
        <v>75.53691275167786</v>
      </c>
      <c r="DM48" s="722">
        <v>75.671140939597322</v>
      </c>
      <c r="DN48" s="722">
        <v>75.8</v>
      </c>
      <c r="DO48" s="722">
        <v>75.8</v>
      </c>
      <c r="DP48" s="722">
        <v>72.900000000000006</v>
      </c>
      <c r="DQ48" s="723">
        <v>76.400000000000006</v>
      </c>
      <c r="DR48" s="722">
        <v>76.400000000000006</v>
      </c>
      <c r="DS48" s="723">
        <v>74.2</v>
      </c>
      <c r="DT48" s="731">
        <v>71.400000000000006</v>
      </c>
      <c r="DU48" s="722">
        <v>72.828282828282823</v>
      </c>
      <c r="DV48" s="722">
        <v>73</v>
      </c>
      <c r="DW48" s="722">
        <v>73.400000000000006</v>
      </c>
      <c r="DX48" s="722">
        <v>73.8</v>
      </c>
      <c r="DY48" s="722">
        <v>74.2</v>
      </c>
      <c r="DZ48" s="722">
        <v>74.599999999999994</v>
      </c>
      <c r="EA48" s="722">
        <v>76.099999999999994</v>
      </c>
      <c r="EB48" s="722">
        <v>75.3</v>
      </c>
      <c r="EC48" s="723">
        <v>76.099999999999994</v>
      </c>
      <c r="ED48" s="722">
        <v>64.2</v>
      </c>
      <c r="EE48" s="723">
        <v>73.599999999999994</v>
      </c>
      <c r="EF48" s="722">
        <v>70.400000000000006</v>
      </c>
      <c r="EG48" s="723">
        <v>70.400000000000006</v>
      </c>
      <c r="EH48" s="731">
        <v>76.2</v>
      </c>
      <c r="EI48" s="722">
        <v>75.5</v>
      </c>
      <c r="EJ48" s="722">
        <v>77.099999999999994</v>
      </c>
      <c r="EK48" s="722">
        <v>78.7</v>
      </c>
      <c r="EL48" s="722">
        <v>78.680000000000007</v>
      </c>
      <c r="EM48" s="722">
        <v>78.662000000000006</v>
      </c>
      <c r="EN48" s="722">
        <v>78.650000000000006</v>
      </c>
      <c r="EO48" s="722">
        <v>78.61999999999999</v>
      </c>
      <c r="EP48" s="722">
        <v>78.599999999999994</v>
      </c>
      <c r="EQ48" s="722">
        <v>78.599999999999994</v>
      </c>
      <c r="ER48" s="722">
        <v>76.400000000000006</v>
      </c>
      <c r="ES48" s="723">
        <v>74.2</v>
      </c>
      <c r="ET48" s="731">
        <v>75.5</v>
      </c>
      <c r="EU48" s="731">
        <v>72.8</v>
      </c>
      <c r="EV48" s="722">
        <v>74.106666666666669</v>
      </c>
      <c r="EW48" s="722">
        <v>74.599999999999994</v>
      </c>
      <c r="EX48" s="722">
        <v>75.2</v>
      </c>
      <c r="EY48" s="731">
        <v>35.700000000000003</v>
      </c>
      <c r="EZ48" s="722">
        <v>39.5</v>
      </c>
      <c r="FA48" s="722">
        <v>43.3</v>
      </c>
      <c r="FB48" s="722">
        <v>45.5</v>
      </c>
      <c r="FC48" s="722">
        <v>47.3</v>
      </c>
      <c r="FD48" s="722">
        <v>50.4</v>
      </c>
      <c r="FE48" s="723">
        <v>50.4</v>
      </c>
    </row>
    <row r="49" spans="1:161" s="7" customFormat="1" ht="15" x14ac:dyDescent="0.3">
      <c r="A49" s="49" t="s">
        <v>59</v>
      </c>
      <c r="B49" s="44" t="s">
        <v>26</v>
      </c>
      <c r="C49" s="120" t="s">
        <v>109</v>
      </c>
      <c r="D49" s="523" t="s">
        <v>52</v>
      </c>
      <c r="E49" s="101">
        <f t="shared" si="7"/>
        <v>0.22177777777777782</v>
      </c>
      <c r="F49" s="97">
        <f t="shared" si="10"/>
        <v>0.11163333835583369</v>
      </c>
      <c r="G49" s="97">
        <f t="shared" si="8"/>
        <v>3.7999999999999999E-2</v>
      </c>
      <c r="H49" s="377">
        <f t="shared" si="9"/>
        <v>1.1100000000000001</v>
      </c>
      <c r="I49" s="382">
        <v>3.7999999999999999E-2</v>
      </c>
      <c r="J49" s="305">
        <v>4.2999999999999997E-2</v>
      </c>
      <c r="K49" s="305">
        <v>0.05</v>
      </c>
      <c r="L49" s="305">
        <v>0.06</v>
      </c>
      <c r="M49" s="462">
        <v>7.0000000000000007E-2</v>
      </c>
      <c r="N49" s="462">
        <v>7.3999999999999996E-2</v>
      </c>
      <c r="O49" s="464">
        <v>6.7000000000000004E-2</v>
      </c>
      <c r="P49" s="465">
        <v>0.11700000000000001</v>
      </c>
      <c r="Q49" s="462">
        <v>0.115</v>
      </c>
      <c r="R49" s="462">
        <v>0.112</v>
      </c>
      <c r="S49" s="463">
        <v>0.112</v>
      </c>
      <c r="T49" s="462">
        <v>4.1000000000000002E-2</v>
      </c>
      <c r="U49" s="462">
        <v>4.4999999999999998E-2</v>
      </c>
      <c r="V49" s="462">
        <v>9.4E-2</v>
      </c>
      <c r="W49" s="463">
        <v>9.4E-2</v>
      </c>
      <c r="X49" s="465">
        <v>5.6000000000000001E-2</v>
      </c>
      <c r="Y49" s="464">
        <v>6.3E-2</v>
      </c>
      <c r="Z49" s="465">
        <v>0.54500000000000004</v>
      </c>
      <c r="AA49" s="462">
        <v>0.58399999999999996</v>
      </c>
      <c r="AB49" s="462">
        <v>0.61199999999999999</v>
      </c>
      <c r="AC49" s="462">
        <v>0.752</v>
      </c>
      <c r="AD49" s="462">
        <v>0.91</v>
      </c>
      <c r="AE49" s="462">
        <v>1.046</v>
      </c>
      <c r="AF49" s="463">
        <v>1.1100000000000001</v>
      </c>
      <c r="AG49" s="688">
        <v>0.47799999999999998</v>
      </c>
      <c r="AH49" s="465">
        <v>4.9000000000000002E-2</v>
      </c>
      <c r="AI49" s="462">
        <v>5.7000000000000002E-2</v>
      </c>
      <c r="AJ49" s="462">
        <v>7.5999999999999998E-2</v>
      </c>
      <c r="AK49" s="462">
        <v>7.9000000000000001E-2</v>
      </c>
      <c r="AL49" s="463">
        <v>8.1000000000000003E-2</v>
      </c>
      <c r="AM49" s="387">
        <v>6.3E-2</v>
      </c>
      <c r="AN49" s="465">
        <v>4.5999999999999999E-2</v>
      </c>
      <c r="AO49" s="463">
        <v>5.5E-2</v>
      </c>
      <c r="AP49" s="465">
        <v>5.5E-2</v>
      </c>
      <c r="AQ49" s="462">
        <v>6.2E-2</v>
      </c>
      <c r="AR49" s="462">
        <v>7.2999999999999995E-2</v>
      </c>
      <c r="AS49" s="462">
        <v>8.4000000000000005E-2</v>
      </c>
      <c r="AT49" s="462">
        <v>9.6000000000000002E-2</v>
      </c>
      <c r="AU49" s="462">
        <v>9.7000000000000003E-2</v>
      </c>
      <c r="AV49" s="462">
        <v>9.9000000000000005E-2</v>
      </c>
      <c r="AW49" s="462">
        <v>0.10199999999999999</v>
      </c>
      <c r="AX49" s="462">
        <v>0.11600000000000001</v>
      </c>
      <c r="AY49" s="462">
        <v>0.129</v>
      </c>
      <c r="AZ49" s="462">
        <v>0.128</v>
      </c>
      <c r="BA49" s="462">
        <v>0.127</v>
      </c>
      <c r="BB49" s="462">
        <v>0.126</v>
      </c>
      <c r="BC49" s="462">
        <v>0.125</v>
      </c>
      <c r="BD49" s="462">
        <v>0.124</v>
      </c>
      <c r="BE49" s="462">
        <v>0.124</v>
      </c>
      <c r="BF49" s="462">
        <v>0.123</v>
      </c>
      <c r="BG49" s="462">
        <v>0.122</v>
      </c>
      <c r="BH49" s="462">
        <v>0.12</v>
      </c>
      <c r="BI49" s="462">
        <v>0.14599999999999999</v>
      </c>
      <c r="BJ49" s="462">
        <v>0.16200000000000001</v>
      </c>
      <c r="BK49" s="462">
        <v>0.224</v>
      </c>
      <c r="BL49" s="463">
        <v>0.28599999999999998</v>
      </c>
      <c r="BM49" s="465">
        <v>0.20100000000000001</v>
      </c>
      <c r="BN49" s="462">
        <v>0.20200000000000001</v>
      </c>
      <c r="BO49" s="462">
        <v>0.20399999999999999</v>
      </c>
      <c r="BP49" s="462">
        <v>0.20799999999999999</v>
      </c>
      <c r="BQ49" s="462">
        <v>0.21</v>
      </c>
      <c r="BR49" s="462">
        <v>0.21099999999999999</v>
      </c>
      <c r="BS49" s="462">
        <v>0.21299999999999999</v>
      </c>
      <c r="BT49" s="462">
        <v>0.215</v>
      </c>
      <c r="BU49" s="462">
        <v>0.218</v>
      </c>
      <c r="BV49" s="462">
        <v>0.27</v>
      </c>
      <c r="BW49" s="464">
        <v>0.30299999999999999</v>
      </c>
      <c r="BX49" s="465">
        <v>8.4000000000000005E-2</v>
      </c>
      <c r="BY49" s="462">
        <v>9.5000000000000001E-2</v>
      </c>
      <c r="BZ49" s="462">
        <v>0.105</v>
      </c>
      <c r="CA49" s="463">
        <v>0.11600000000000001</v>
      </c>
      <c r="CB49" s="400">
        <v>6.5000000000000002E-2</v>
      </c>
      <c r="CC49" s="462">
        <v>6.9000000000000006E-2</v>
      </c>
      <c r="CD49" s="462">
        <v>7.2999999999999995E-2</v>
      </c>
      <c r="CE49" s="464">
        <v>7.6999999999999999E-2</v>
      </c>
      <c r="CF49" s="465">
        <v>9.8000000000000004E-2</v>
      </c>
      <c r="CG49" s="462">
        <v>0.111</v>
      </c>
      <c r="CH49" s="462">
        <v>0.125</v>
      </c>
      <c r="CI49" s="463">
        <v>0.13800000000000001</v>
      </c>
      <c r="CJ49" s="400">
        <v>0.09</v>
      </c>
      <c r="CK49" s="462">
        <v>9.7000000000000003E-2</v>
      </c>
      <c r="CL49" s="462">
        <v>0.10299999999999999</v>
      </c>
      <c r="CM49" s="464">
        <v>0.11</v>
      </c>
      <c r="CN49" s="465">
        <v>3.3000000000000002E-2</v>
      </c>
      <c r="CO49" s="462">
        <v>3.6999999999999998E-2</v>
      </c>
      <c r="CP49" s="462">
        <v>4.4508064516129035E-2</v>
      </c>
      <c r="CQ49" s="462">
        <v>5.2169354838709679E-2</v>
      </c>
      <c r="CR49" s="462">
        <v>6.7491935483870974E-2</v>
      </c>
      <c r="CS49" s="462">
        <v>7.4999999999999997E-2</v>
      </c>
      <c r="CT49" s="462">
        <v>0.10050300601202405</v>
      </c>
      <c r="CU49" s="462">
        <v>0.15100400801603206</v>
      </c>
      <c r="CV49" s="462">
        <v>0.17625450901803605</v>
      </c>
      <c r="CW49" s="462">
        <v>0.20100000000000001</v>
      </c>
      <c r="CX49" s="462">
        <v>0.20274798387096774</v>
      </c>
      <c r="CY49" s="462">
        <v>0.20446169354838711</v>
      </c>
      <c r="CZ49" s="462">
        <v>0.20617540322580646</v>
      </c>
      <c r="DA49" s="462">
        <v>0.20788911290322579</v>
      </c>
      <c r="DB49" s="462">
        <v>0.20960282258064517</v>
      </c>
      <c r="DC49" s="462">
        <v>0.21131653225806452</v>
      </c>
      <c r="DD49" s="462">
        <v>0.21303024193548387</v>
      </c>
      <c r="DE49" s="462">
        <v>0.21474395161290324</v>
      </c>
      <c r="DF49" s="462">
        <v>0.218</v>
      </c>
      <c r="DG49" s="462">
        <v>0.26966666666666667</v>
      </c>
      <c r="DH49" s="462">
        <v>0.30299999999999999</v>
      </c>
      <c r="DI49" s="462">
        <v>0.34100000000000003</v>
      </c>
      <c r="DJ49" s="463">
        <v>0.379</v>
      </c>
      <c r="DK49" s="727">
        <v>5.5E-2</v>
      </c>
      <c r="DL49" s="725">
        <v>7.0999999999999994E-2</v>
      </c>
      <c r="DM49" s="725">
        <v>8.6859060402684596E-2</v>
      </c>
      <c r="DN49" s="725">
        <v>0.104</v>
      </c>
      <c r="DO49" s="725">
        <v>0.11</v>
      </c>
      <c r="DP49" s="725">
        <v>0.114</v>
      </c>
      <c r="DQ49" s="726">
        <v>0.11899999999999999</v>
      </c>
      <c r="DR49" s="725">
        <v>0.21</v>
      </c>
      <c r="DS49" s="726">
        <v>0.26400000000000001</v>
      </c>
      <c r="DT49" s="727">
        <v>0.129</v>
      </c>
      <c r="DU49" s="725">
        <v>0.127</v>
      </c>
      <c r="DV49" s="725">
        <v>0.125</v>
      </c>
      <c r="DW49" s="725">
        <v>0.124</v>
      </c>
      <c r="DX49" s="725">
        <v>0.124</v>
      </c>
      <c r="DY49" s="725">
        <v>0.123</v>
      </c>
      <c r="DZ49" s="725">
        <v>0.122</v>
      </c>
      <c r="EA49" s="725">
        <v>0.12</v>
      </c>
      <c r="EB49" s="725">
        <v>0.14599999999999999</v>
      </c>
      <c r="EC49" s="726">
        <v>0.16200000000000001</v>
      </c>
      <c r="ED49" s="725">
        <v>6.5000000000000002E-2</v>
      </c>
      <c r="EE49" s="726">
        <v>0.06</v>
      </c>
      <c r="EF49" s="725">
        <v>5.8000000000000003E-2</v>
      </c>
      <c r="EG49" s="726">
        <v>5.5E-2</v>
      </c>
      <c r="EH49" s="727">
        <v>7.3999999999999996E-2</v>
      </c>
      <c r="EI49" s="725">
        <v>8.4000000000000005E-2</v>
      </c>
      <c r="EJ49" s="725">
        <v>8.5999999999999993E-2</v>
      </c>
      <c r="EK49" s="725">
        <v>8.7999999999999995E-2</v>
      </c>
      <c r="EL49" s="725">
        <v>0.10199999999999999</v>
      </c>
      <c r="EM49" s="725">
        <v>0.114</v>
      </c>
      <c r="EN49" s="725">
        <v>0.122</v>
      </c>
      <c r="EO49" s="725">
        <v>0.14199999999999999</v>
      </c>
      <c r="EP49" s="725">
        <v>0.156</v>
      </c>
      <c r="EQ49" s="725">
        <v>0.156</v>
      </c>
      <c r="ER49" s="725">
        <v>0.21</v>
      </c>
      <c r="ES49" s="726">
        <v>0.26400000000000001</v>
      </c>
      <c r="ET49" s="727">
        <v>0.71199999999999997</v>
      </c>
      <c r="EU49" s="727">
        <v>0.61</v>
      </c>
      <c r="EV49" s="725">
        <v>0.53700000000000003</v>
      </c>
      <c r="EW49" s="725">
        <v>0.50900000000000001</v>
      </c>
      <c r="EX49" s="725">
        <v>0.47499999999999998</v>
      </c>
      <c r="EY49" s="727">
        <v>0.106</v>
      </c>
      <c r="EZ49" s="725">
        <v>9.5000000000000001E-2</v>
      </c>
      <c r="FA49" s="725">
        <v>8.376666666666667E-2</v>
      </c>
      <c r="FB49" s="725">
        <v>8.7999999999999995E-2</v>
      </c>
      <c r="FC49" s="725">
        <v>9.0999999999999998E-2</v>
      </c>
      <c r="FD49" s="725">
        <v>9.7000000000000003E-2</v>
      </c>
      <c r="FE49" s="726">
        <v>0.108</v>
      </c>
    </row>
    <row r="50" spans="1:161" s="7" customFormat="1" ht="15" x14ac:dyDescent="0.3">
      <c r="A50" s="49" t="s">
        <v>51</v>
      </c>
      <c r="B50" s="44" t="s">
        <v>27</v>
      </c>
      <c r="C50" s="120" t="s">
        <v>109</v>
      </c>
      <c r="D50" s="523" t="s">
        <v>52</v>
      </c>
      <c r="E50" s="101">
        <f t="shared" si="7"/>
        <v>9.4051874163319948E-2</v>
      </c>
      <c r="F50" s="97">
        <f t="shared" si="10"/>
        <v>3.8435235007745358E-2</v>
      </c>
      <c r="G50" s="97">
        <f t="shared" si="8"/>
        <v>2.9000000000000001E-2</v>
      </c>
      <c r="H50" s="377">
        <f t="shared" si="9"/>
        <v>0.38</v>
      </c>
      <c r="I50" s="382">
        <v>0.03</v>
      </c>
      <c r="J50" s="305">
        <v>0.03</v>
      </c>
      <c r="K50" s="305">
        <v>3.1E-2</v>
      </c>
      <c r="L50" s="305">
        <v>3.1E-2</v>
      </c>
      <c r="M50" s="462">
        <v>3.7999999999999999E-2</v>
      </c>
      <c r="N50" s="462">
        <v>3.7999999999999999E-2</v>
      </c>
      <c r="O50" s="464">
        <v>3.7999999999999999E-2</v>
      </c>
      <c r="P50" s="465">
        <v>7.1999999999999995E-2</v>
      </c>
      <c r="Q50" s="462">
        <v>4.9000000000000002E-2</v>
      </c>
      <c r="R50" s="462">
        <v>4.9000000000000002E-2</v>
      </c>
      <c r="S50" s="463">
        <v>4.9000000000000002E-2</v>
      </c>
      <c r="T50" s="462">
        <v>3.9E-2</v>
      </c>
      <c r="U50" s="462">
        <v>3.9E-2</v>
      </c>
      <c r="V50" s="462">
        <v>4.1000000000000002E-2</v>
      </c>
      <c r="W50" s="463">
        <v>4.1000000000000002E-2</v>
      </c>
      <c r="X50" s="465">
        <v>3.6999999999999998E-2</v>
      </c>
      <c r="Y50" s="464">
        <v>3.6999999999999998E-2</v>
      </c>
      <c r="Z50" s="465">
        <v>0.32500000000000001</v>
      </c>
      <c r="AA50" s="462">
        <v>0.23699999999999999</v>
      </c>
      <c r="AB50" s="462">
        <v>0.17299999999999999</v>
      </c>
      <c r="AC50" s="462">
        <v>0.23100000000000001</v>
      </c>
      <c r="AD50" s="462">
        <v>0.29686746987951801</v>
      </c>
      <c r="AE50" s="462">
        <v>0.35299999999999998</v>
      </c>
      <c r="AF50" s="463">
        <v>0.38</v>
      </c>
      <c r="AG50" s="688">
        <v>0.28299999999999997</v>
      </c>
      <c r="AH50" s="465">
        <v>3.2000000000000001E-2</v>
      </c>
      <c r="AI50" s="462">
        <v>3.2000000000000001E-2</v>
      </c>
      <c r="AJ50" s="462">
        <v>4.2999999999999997E-2</v>
      </c>
      <c r="AK50" s="462">
        <v>4.2999999999999997E-2</v>
      </c>
      <c r="AL50" s="463">
        <v>4.2999999999999997E-2</v>
      </c>
      <c r="AM50" s="387">
        <v>4.2000000000000003E-2</v>
      </c>
      <c r="AN50" s="465">
        <v>2.9000000000000001E-2</v>
      </c>
      <c r="AO50" s="463">
        <v>2.9000000000000001E-2</v>
      </c>
      <c r="AP50" s="465">
        <v>4.2000000000000003E-2</v>
      </c>
      <c r="AQ50" s="462">
        <v>0.04</v>
      </c>
      <c r="AR50" s="462">
        <v>4.2999999999999997E-2</v>
      </c>
      <c r="AS50" s="462">
        <v>4.5999999999999999E-2</v>
      </c>
      <c r="AT50" s="462">
        <v>4.9000000000000002E-2</v>
      </c>
      <c r="AU50" s="462">
        <v>4.9000000000000002E-2</v>
      </c>
      <c r="AV50" s="462">
        <v>4.9000000000000002E-2</v>
      </c>
      <c r="AW50" s="462">
        <v>4.8000000000000001E-2</v>
      </c>
      <c r="AX50" s="462">
        <v>4.8000000000000001E-2</v>
      </c>
      <c r="AY50" s="462">
        <v>4.8000000000000001E-2</v>
      </c>
      <c r="AZ50" s="462">
        <v>4.9000000000000002E-2</v>
      </c>
      <c r="BA50" s="462">
        <v>4.9000000000000002E-2</v>
      </c>
      <c r="BB50" s="462">
        <v>0.05</v>
      </c>
      <c r="BC50" s="462">
        <v>5.0999999999999997E-2</v>
      </c>
      <c r="BD50" s="462">
        <v>5.1999999999999998E-2</v>
      </c>
      <c r="BE50" s="462">
        <v>5.1999999999999998E-2</v>
      </c>
      <c r="BF50" s="462">
        <v>5.2999999999999999E-2</v>
      </c>
      <c r="BG50" s="462">
        <v>5.3999999999999999E-2</v>
      </c>
      <c r="BH50" s="462">
        <v>5.5E-2</v>
      </c>
      <c r="BI50" s="462">
        <v>5.5E-2</v>
      </c>
      <c r="BJ50" s="462">
        <v>5.5E-2</v>
      </c>
      <c r="BK50" s="462">
        <v>7.8E-2</v>
      </c>
      <c r="BL50" s="463">
        <v>0.1</v>
      </c>
      <c r="BM50" s="465">
        <v>4.8000000000000001E-2</v>
      </c>
      <c r="BN50" s="462">
        <v>4.8000000000000001E-2</v>
      </c>
      <c r="BO50" s="462">
        <v>4.9000000000000002E-2</v>
      </c>
      <c r="BP50" s="462">
        <v>5.0999999999999997E-2</v>
      </c>
      <c r="BQ50" s="462">
        <v>5.1999999999999998E-2</v>
      </c>
      <c r="BR50" s="462">
        <v>5.1999999999999998E-2</v>
      </c>
      <c r="BS50" s="462">
        <v>5.2999999999999999E-2</v>
      </c>
      <c r="BT50" s="462">
        <v>5.3999999999999999E-2</v>
      </c>
      <c r="BU50" s="462">
        <v>5.5E-2</v>
      </c>
      <c r="BV50" s="462">
        <v>5.5E-2</v>
      </c>
      <c r="BW50" s="464">
        <v>5.5E-2</v>
      </c>
      <c r="BX50" s="465">
        <v>0.04</v>
      </c>
      <c r="BY50" s="462">
        <v>4.2999999999999997E-2</v>
      </c>
      <c r="BZ50" s="462">
        <v>4.4999999999999998E-2</v>
      </c>
      <c r="CA50" s="463">
        <v>4.8000000000000001E-2</v>
      </c>
      <c r="CB50" s="400">
        <v>0.03</v>
      </c>
      <c r="CC50" s="462">
        <v>3.2000000000000001E-2</v>
      </c>
      <c r="CD50" s="462">
        <v>3.3000000000000002E-2</v>
      </c>
      <c r="CE50" s="464">
        <v>3.4000000000000002E-2</v>
      </c>
      <c r="CF50" s="465">
        <v>0.05</v>
      </c>
      <c r="CG50" s="462">
        <v>5.2999999999999999E-2</v>
      </c>
      <c r="CH50" s="462">
        <v>5.6000000000000001E-2</v>
      </c>
      <c r="CI50" s="463">
        <v>5.8999999999999997E-2</v>
      </c>
      <c r="CJ50" s="400">
        <v>5.5E-2</v>
      </c>
      <c r="CK50" s="462">
        <v>5.2999999999999999E-2</v>
      </c>
      <c r="CL50" s="462">
        <v>5.1999999999999998E-2</v>
      </c>
      <c r="CM50" s="464">
        <v>0.05</v>
      </c>
      <c r="CN50" s="465">
        <v>4.2000000000000003E-2</v>
      </c>
      <c r="CO50" s="462">
        <v>3.7999999999999999E-2</v>
      </c>
      <c r="CP50" s="462">
        <v>4.0173387096774191E-2</v>
      </c>
      <c r="CQ50" s="462">
        <v>4.2391129032258064E-2</v>
      </c>
      <c r="CR50" s="462">
        <v>4.682661290322581E-2</v>
      </c>
      <c r="CS50" s="462">
        <v>4.9000000000000002E-2</v>
      </c>
      <c r="CT50" s="462">
        <v>5.5679358717434874E-2</v>
      </c>
      <c r="CU50" s="462">
        <v>6.8905811623246493E-2</v>
      </c>
      <c r="CV50" s="462">
        <v>7.5519038076152303E-2</v>
      </c>
      <c r="CW50" s="462">
        <v>8.2000000000000003E-2</v>
      </c>
      <c r="CX50" s="462">
        <v>7.9223790322580645E-2</v>
      </c>
      <c r="CY50" s="462">
        <v>7.6502016129032263E-2</v>
      </c>
      <c r="CZ50" s="462">
        <v>7.3780241935483867E-2</v>
      </c>
      <c r="DA50" s="462">
        <v>7.1058467741935485E-2</v>
      </c>
      <c r="DB50" s="462">
        <v>6.8336693548387104E-2</v>
      </c>
      <c r="DC50" s="462">
        <v>6.5614919354838708E-2</v>
      </c>
      <c r="DD50" s="462">
        <v>6.2893145161290326E-2</v>
      </c>
      <c r="DE50" s="462">
        <v>6.0171370967741937E-2</v>
      </c>
      <c r="DF50" s="462">
        <v>5.5E-2</v>
      </c>
      <c r="DG50" s="462">
        <v>5.5E-2</v>
      </c>
      <c r="DH50" s="462">
        <v>5.5E-2</v>
      </c>
      <c r="DI50" s="462">
        <v>7.7499999999999999E-2</v>
      </c>
      <c r="DJ50" s="463">
        <v>0.1</v>
      </c>
      <c r="DK50" s="728">
        <v>3.4000000000000002E-2</v>
      </c>
      <c r="DL50" s="713">
        <v>4.9000000000000002E-2</v>
      </c>
      <c r="DM50" s="713">
        <v>6.3E-2</v>
      </c>
      <c r="DN50" s="713">
        <v>7.8E-2</v>
      </c>
      <c r="DO50" s="713">
        <v>7.8E-2</v>
      </c>
      <c r="DP50" s="713">
        <v>4.4999999999999998E-2</v>
      </c>
      <c r="DQ50" s="714">
        <v>0.08</v>
      </c>
      <c r="DR50" s="713">
        <v>0.09</v>
      </c>
      <c r="DS50" s="714">
        <v>0.115</v>
      </c>
      <c r="DT50" s="728">
        <v>4.8000000000000001E-2</v>
      </c>
      <c r="DU50" s="713">
        <v>4.9000000000000002E-2</v>
      </c>
      <c r="DV50" s="713">
        <v>5.0999999999999997E-2</v>
      </c>
      <c r="DW50" s="713">
        <v>5.1999999999999998E-2</v>
      </c>
      <c r="DX50" s="713">
        <v>5.1999999999999998E-2</v>
      </c>
      <c r="DY50" s="713">
        <v>5.2999999999999999E-2</v>
      </c>
      <c r="DZ50" s="713">
        <v>5.3999999999999999E-2</v>
      </c>
      <c r="EA50" s="713">
        <v>5.5E-2</v>
      </c>
      <c r="EB50" s="713">
        <v>5.5E-2</v>
      </c>
      <c r="EC50" s="714">
        <v>5.5E-2</v>
      </c>
      <c r="ED50" s="713">
        <v>4.8000000000000001E-2</v>
      </c>
      <c r="EE50" s="714">
        <v>3.7999999999999999E-2</v>
      </c>
      <c r="EF50" s="713">
        <v>4.2000000000000003E-2</v>
      </c>
      <c r="EG50" s="714">
        <v>4.2000000000000003E-2</v>
      </c>
      <c r="EH50" s="728">
        <v>4.4999999999999998E-2</v>
      </c>
      <c r="EI50" s="713">
        <v>5.3999999999999999E-2</v>
      </c>
      <c r="EJ50" s="713">
        <v>5.0999999999999997E-2</v>
      </c>
      <c r="EK50" s="713">
        <v>4.7E-2</v>
      </c>
      <c r="EL50" s="713">
        <v>5.0999999999999997E-2</v>
      </c>
      <c r="EM50" s="713">
        <v>5.3839999999999999E-2</v>
      </c>
      <c r="EN50" s="713">
        <v>5.6000000000000001E-2</v>
      </c>
      <c r="EO50" s="713">
        <v>6.0999999999999999E-2</v>
      </c>
      <c r="EP50" s="713">
        <v>6.5000000000000002E-2</v>
      </c>
      <c r="EQ50" s="713">
        <v>6.5000000000000002E-2</v>
      </c>
      <c r="ER50" s="713">
        <v>0.09</v>
      </c>
      <c r="ES50" s="714">
        <v>0.115</v>
      </c>
      <c r="ET50" s="728">
        <v>0.21456626506024101</v>
      </c>
      <c r="EU50" s="728">
        <v>0.26</v>
      </c>
      <c r="EV50" s="713">
        <v>0.28799999999999998</v>
      </c>
      <c r="EW50" s="713">
        <v>0.29899999999999999</v>
      </c>
      <c r="EX50" s="713">
        <v>0.312</v>
      </c>
      <c r="EY50" s="728">
        <v>7.6333333333333336E-2</v>
      </c>
      <c r="EZ50" s="713">
        <v>6.9000000000000006E-2</v>
      </c>
      <c r="FA50" s="713">
        <v>6.25E-2</v>
      </c>
      <c r="FB50" s="713">
        <v>5.8999999999999997E-2</v>
      </c>
      <c r="FC50" s="713">
        <v>5.7000000000000002E-2</v>
      </c>
      <c r="FD50" s="713">
        <v>5.1999999999999998E-2</v>
      </c>
      <c r="FE50" s="714">
        <v>5.1999999999999998E-2</v>
      </c>
    </row>
    <row r="51" spans="1:161" s="7" customFormat="1" ht="15" x14ac:dyDescent="0.3">
      <c r="A51" s="51" t="s">
        <v>60</v>
      </c>
      <c r="B51" s="59" t="s">
        <v>28</v>
      </c>
      <c r="C51" s="120" t="s">
        <v>109</v>
      </c>
      <c r="D51" s="523" t="s">
        <v>52</v>
      </c>
      <c r="E51" s="101">
        <f t="shared" si="7"/>
        <v>1.3404283801874169E-2</v>
      </c>
      <c r="F51" s="97">
        <f t="shared" si="10"/>
        <v>4.5006316855522536E-3</v>
      </c>
      <c r="G51" s="97">
        <f t="shared" si="8"/>
        <v>5.0000000000000001E-3</v>
      </c>
      <c r="H51" s="377">
        <f t="shared" si="9"/>
        <v>2.8000000000000001E-2</v>
      </c>
      <c r="I51" s="382">
        <v>0.01</v>
      </c>
      <c r="J51" s="305">
        <v>0.01</v>
      </c>
      <c r="K51" s="305">
        <v>0.01</v>
      </c>
      <c r="L51" s="305">
        <v>0.01</v>
      </c>
      <c r="M51" s="462">
        <v>0.01</v>
      </c>
      <c r="N51" s="462">
        <v>0.01</v>
      </c>
      <c r="O51" s="464">
        <v>0.01</v>
      </c>
      <c r="P51" s="465">
        <v>7.7590361445783098E-3</v>
      </c>
      <c r="Q51" s="462">
        <v>8.5542168674698806E-3</v>
      </c>
      <c r="R51" s="462">
        <v>0.01</v>
      </c>
      <c r="S51" s="463">
        <v>0.01</v>
      </c>
      <c r="T51" s="462">
        <v>1.2E-2</v>
      </c>
      <c r="U51" s="462">
        <v>1.2E-2</v>
      </c>
      <c r="V51" s="462">
        <v>1.2999999999999999E-2</v>
      </c>
      <c r="W51" s="463">
        <v>1.2999999999999999E-2</v>
      </c>
      <c r="X51" s="465">
        <v>1.2E-2</v>
      </c>
      <c r="Y51" s="464">
        <v>1.2E-2</v>
      </c>
      <c r="Z51" s="465">
        <v>2.8000000000000001E-2</v>
      </c>
      <c r="AA51" s="462">
        <v>2.7E-2</v>
      </c>
      <c r="AB51" s="462">
        <v>2.5999999999999999E-2</v>
      </c>
      <c r="AC51" s="462">
        <v>2.5437751004016101E-2</v>
      </c>
      <c r="AD51" s="462">
        <v>2.48032128514056E-2</v>
      </c>
      <c r="AE51" s="462">
        <v>2.4E-2</v>
      </c>
      <c r="AF51" s="463">
        <v>2.4E-2</v>
      </c>
      <c r="AG51" s="688">
        <v>0.02</v>
      </c>
      <c r="AH51" s="465">
        <v>0.01</v>
      </c>
      <c r="AI51" s="462">
        <v>0.01</v>
      </c>
      <c r="AJ51" s="462">
        <v>1.0999999999999999E-2</v>
      </c>
      <c r="AK51" s="462">
        <v>1.0999999999999999E-2</v>
      </c>
      <c r="AL51" s="463">
        <v>1.0999999999999999E-2</v>
      </c>
      <c r="AM51" s="387">
        <v>1.2999999999999999E-2</v>
      </c>
      <c r="AN51" s="465">
        <v>1.0999999999999999E-2</v>
      </c>
      <c r="AO51" s="463">
        <v>1.0999999999999999E-2</v>
      </c>
      <c r="AP51" s="465">
        <v>5.0000000000000001E-3</v>
      </c>
      <c r="AQ51" s="462">
        <v>5.0000000000000001E-3</v>
      </c>
      <c r="AR51" s="462">
        <v>5.0000000000000001E-3</v>
      </c>
      <c r="AS51" s="462">
        <v>4.0000000000000001E-3</v>
      </c>
      <c r="AT51" s="462">
        <v>5.0000000000000001E-3</v>
      </c>
      <c r="AU51" s="462">
        <v>7.0000000000000001E-3</v>
      </c>
      <c r="AV51" s="462">
        <v>8.9999999999999993E-3</v>
      </c>
      <c r="AW51" s="462">
        <v>1.4999999999999999E-2</v>
      </c>
      <c r="AX51" s="462">
        <v>1.4999999999999999E-2</v>
      </c>
      <c r="AY51" s="462">
        <v>1.4999999999999999E-2</v>
      </c>
      <c r="AZ51" s="462">
        <v>1.4E-2</v>
      </c>
      <c r="BA51" s="462">
        <v>1.4E-2</v>
      </c>
      <c r="BB51" s="462">
        <v>1.4E-2</v>
      </c>
      <c r="BC51" s="462">
        <v>1.4E-2</v>
      </c>
      <c r="BD51" s="462">
        <v>1.4E-2</v>
      </c>
      <c r="BE51" s="462">
        <v>1.4E-2</v>
      </c>
      <c r="BF51" s="462">
        <v>1.2999999999999999E-2</v>
      </c>
      <c r="BG51" s="462">
        <v>1.2999999999999999E-2</v>
      </c>
      <c r="BH51" s="462">
        <v>1.2999999999999999E-2</v>
      </c>
      <c r="BI51" s="462">
        <v>1.2999999999999999E-2</v>
      </c>
      <c r="BJ51" s="462">
        <v>1.2999999999999999E-2</v>
      </c>
      <c r="BK51" s="462">
        <v>1.2999999999999999E-2</v>
      </c>
      <c r="BL51" s="463">
        <v>1.2999999999999999E-2</v>
      </c>
      <c r="BM51" s="465">
        <v>1.4999999999999999E-2</v>
      </c>
      <c r="BN51" s="462">
        <v>1.6E-2</v>
      </c>
      <c r="BO51" s="462">
        <v>1.7000000000000001E-2</v>
      </c>
      <c r="BP51" s="462">
        <v>0.02</v>
      </c>
      <c r="BQ51" s="462">
        <v>2.1999999999999999E-2</v>
      </c>
      <c r="BR51" s="462">
        <v>2.3E-2</v>
      </c>
      <c r="BS51" s="462">
        <v>2.5000000000000001E-2</v>
      </c>
      <c r="BT51" s="462">
        <v>2.5999999999999999E-2</v>
      </c>
      <c r="BU51" s="462">
        <v>2.9000000000000001E-2</v>
      </c>
      <c r="BV51" s="462">
        <v>2.9000000000000001E-2</v>
      </c>
      <c r="BW51" s="464">
        <v>2.9000000000000001E-2</v>
      </c>
      <c r="BX51" s="465">
        <v>1.2999999999999999E-2</v>
      </c>
      <c r="BY51" s="462">
        <v>1.2999999999999999E-2</v>
      </c>
      <c r="BZ51" s="462">
        <v>1.2999999999999999E-2</v>
      </c>
      <c r="CA51" s="463">
        <v>1.2999999999999999E-2</v>
      </c>
      <c r="CB51" s="400">
        <v>1.2999999999999999E-2</v>
      </c>
      <c r="CC51" s="462">
        <v>1.2999999999999999E-2</v>
      </c>
      <c r="CD51" s="462">
        <v>1.2999999999999999E-2</v>
      </c>
      <c r="CE51" s="464">
        <v>1.2999999999999999E-2</v>
      </c>
      <c r="CF51" s="465">
        <v>1.2999999999999999E-2</v>
      </c>
      <c r="CG51" s="462">
        <v>1.2999999999999999E-2</v>
      </c>
      <c r="CH51" s="462">
        <v>1.2999999999999999E-2</v>
      </c>
      <c r="CI51" s="463">
        <v>1.2999999999999999E-2</v>
      </c>
      <c r="CJ51" s="400">
        <v>1.2999999999999999E-2</v>
      </c>
      <c r="CK51" s="462">
        <v>1.2999999999999999E-2</v>
      </c>
      <c r="CL51" s="462">
        <v>1.2999999999999999E-2</v>
      </c>
      <c r="CM51" s="464">
        <v>1.2999999999999999E-2</v>
      </c>
      <c r="CN51" s="465">
        <v>7.0000000000000001E-3</v>
      </c>
      <c r="CO51" s="462">
        <v>7.0000000000000001E-3</v>
      </c>
      <c r="CP51" s="462">
        <v>6.4270161290322578E-3</v>
      </c>
      <c r="CQ51" s="462">
        <v>5.8423387096774191E-3</v>
      </c>
      <c r="CR51" s="462">
        <v>4.672983870967741E-3</v>
      </c>
      <c r="CS51" s="462">
        <v>4.0999999999999995E-3</v>
      </c>
      <c r="CT51" s="462">
        <v>6.2050100200400802E-3</v>
      </c>
      <c r="CU51" s="462">
        <v>1.0373346693386774E-2</v>
      </c>
      <c r="CV51" s="462">
        <v>1.245751503006012E-2</v>
      </c>
      <c r="CW51" s="462">
        <v>1.4500000000000001E-2</v>
      </c>
      <c r="CX51" s="462">
        <v>1.5990927419354841E-2</v>
      </c>
      <c r="CY51" s="462">
        <v>1.7452620967741937E-2</v>
      </c>
      <c r="CZ51" s="462">
        <v>1.8914314516129033E-2</v>
      </c>
      <c r="DA51" s="462">
        <v>2.037600806451613E-2</v>
      </c>
      <c r="DB51" s="462">
        <v>2.1837701612903226E-2</v>
      </c>
      <c r="DC51" s="462">
        <v>2.3299395161290325E-2</v>
      </c>
      <c r="DD51" s="462">
        <v>2.4761088709677422E-2</v>
      </c>
      <c r="DE51" s="462">
        <v>2.6222782258064518E-2</v>
      </c>
      <c r="DF51" s="462">
        <v>2.9000000000000001E-2</v>
      </c>
      <c r="DG51" s="462">
        <v>2.9000000000000001E-2</v>
      </c>
      <c r="DH51" s="462">
        <v>2.9000000000000001E-2</v>
      </c>
      <c r="DI51" s="462">
        <v>2.75E-2</v>
      </c>
      <c r="DJ51" s="463">
        <v>2.5999999999999999E-2</v>
      </c>
      <c r="DK51" s="728">
        <v>1.2E-2</v>
      </c>
      <c r="DL51" s="713">
        <v>1.0999999999999999E-2</v>
      </c>
      <c r="DM51" s="713">
        <v>8.9999999999999993E-3</v>
      </c>
      <c r="DN51" s="713">
        <v>8.0000000000000002E-3</v>
      </c>
      <c r="DO51" s="713">
        <v>8.0000000000000002E-3</v>
      </c>
      <c r="DP51" s="713">
        <v>7.5121951219512201E-3</v>
      </c>
      <c r="DQ51" s="714">
        <v>7.0000000000000001E-3</v>
      </c>
      <c r="DR51" s="713">
        <v>1.2E-2</v>
      </c>
      <c r="DS51" s="714">
        <v>0.01</v>
      </c>
      <c r="DT51" s="728">
        <v>1.4999999999999999E-2</v>
      </c>
      <c r="DU51" s="713">
        <v>1.4E-2</v>
      </c>
      <c r="DV51" s="713">
        <v>1.4E-2</v>
      </c>
      <c r="DW51" s="713">
        <v>1.4E-2</v>
      </c>
      <c r="DX51" s="713">
        <v>1.4E-2</v>
      </c>
      <c r="DY51" s="713">
        <v>1.2999999999999999E-2</v>
      </c>
      <c r="DZ51" s="713">
        <v>1.2999999999999999E-2</v>
      </c>
      <c r="EA51" s="713">
        <v>1.2999999999999999E-2</v>
      </c>
      <c r="EB51" s="713">
        <v>1.2999999999999999E-2</v>
      </c>
      <c r="EC51" s="714">
        <v>1.2999999999999999E-2</v>
      </c>
      <c r="ED51" s="713">
        <v>1.2E-2</v>
      </c>
      <c r="EE51" s="714">
        <v>1.2E-2</v>
      </c>
      <c r="EF51" s="713">
        <v>1.2999999999999999E-2</v>
      </c>
      <c r="EG51" s="714">
        <v>1.2999999999999999E-2</v>
      </c>
      <c r="EH51" s="728">
        <v>1.2999999999999999E-2</v>
      </c>
      <c r="EI51" s="713">
        <v>1.2999999999999999E-2</v>
      </c>
      <c r="EJ51" s="713">
        <v>1.0999999999999999E-2</v>
      </c>
      <c r="EK51" s="713">
        <v>8.9999999999999993E-3</v>
      </c>
      <c r="EL51" s="713">
        <v>0.01</v>
      </c>
      <c r="EM51" s="713">
        <v>1.014E-2</v>
      </c>
      <c r="EN51" s="713">
        <v>1.0999999999999999E-2</v>
      </c>
      <c r="EO51" s="713">
        <v>1.0999999999999999E-2</v>
      </c>
      <c r="EP51" s="713">
        <v>1.23E-2</v>
      </c>
      <c r="EQ51" s="713">
        <v>1.23E-2</v>
      </c>
      <c r="ER51" s="713">
        <v>1.2E-2</v>
      </c>
      <c r="ES51" s="714">
        <v>0.01</v>
      </c>
      <c r="ET51" s="728">
        <v>2.5598393574297201E-2</v>
      </c>
      <c r="EU51" s="728">
        <v>1.4E-2</v>
      </c>
      <c r="EV51" s="713">
        <v>1.7000000000000001E-2</v>
      </c>
      <c r="EW51" s="713">
        <v>1.9E-2</v>
      </c>
      <c r="EX51" s="713">
        <v>0.02</v>
      </c>
      <c r="EY51" s="728">
        <v>8.0000000000000002E-3</v>
      </c>
      <c r="EZ51" s="713">
        <v>8.9999999999999993E-3</v>
      </c>
      <c r="FA51" s="713">
        <v>0.01</v>
      </c>
      <c r="FB51" s="713">
        <v>8.9999999999999993E-3</v>
      </c>
      <c r="FC51" s="713">
        <v>8.9999999999999993E-3</v>
      </c>
      <c r="FD51" s="713">
        <v>7.0000000000000001E-3</v>
      </c>
      <c r="FE51" s="714">
        <v>7.0000000000000001E-3</v>
      </c>
    </row>
    <row r="52" spans="1:161" s="7" customFormat="1" ht="15" x14ac:dyDescent="0.3">
      <c r="A52" s="49" t="s">
        <v>17</v>
      </c>
      <c r="B52" s="44" t="s">
        <v>101</v>
      </c>
      <c r="C52" s="120" t="s">
        <v>110</v>
      </c>
      <c r="D52" s="523" t="s">
        <v>52</v>
      </c>
      <c r="E52" s="101">
        <f t="shared" si="7"/>
        <v>0.96477777777777773</v>
      </c>
      <c r="F52" s="97">
        <f t="shared" si="10"/>
        <v>2.6396577656010025E-2</v>
      </c>
      <c r="G52" s="97">
        <f t="shared" si="8"/>
        <v>0.92600000000000005</v>
      </c>
      <c r="H52" s="377">
        <f t="shared" si="9"/>
        <v>1.0660000000000001</v>
      </c>
      <c r="I52" s="382">
        <v>0.94399999999999995</v>
      </c>
      <c r="J52" s="305">
        <v>0.95</v>
      </c>
      <c r="K52" s="305">
        <v>0.95799999999999996</v>
      </c>
      <c r="L52" s="305">
        <v>0.94599999999999995</v>
      </c>
      <c r="M52" s="462">
        <v>0.94199999999999995</v>
      </c>
      <c r="N52" s="462">
        <v>0.94199999999999995</v>
      </c>
      <c r="O52" s="464">
        <v>0.94299999999999995</v>
      </c>
      <c r="P52" s="465">
        <v>0.92700000000000005</v>
      </c>
      <c r="Q52" s="462">
        <v>0.93400000000000005</v>
      </c>
      <c r="R52" s="462">
        <v>0.92700000000000005</v>
      </c>
      <c r="S52" s="463">
        <v>0.92600000000000005</v>
      </c>
      <c r="T52" s="462">
        <v>0.93799999999999994</v>
      </c>
      <c r="U52" s="462">
        <v>0.93899999999999995</v>
      </c>
      <c r="V52" s="462">
        <v>0.93899999999999995</v>
      </c>
      <c r="W52" s="463">
        <v>0.93899999999999995</v>
      </c>
      <c r="X52" s="465">
        <v>0.95</v>
      </c>
      <c r="Y52" s="464">
        <v>0.94099999999999995</v>
      </c>
      <c r="Z52" s="465">
        <v>0.93400000000000005</v>
      </c>
      <c r="AA52" s="462">
        <v>0.93799999999999994</v>
      </c>
      <c r="AB52" s="462">
        <v>0.94099999999999995</v>
      </c>
      <c r="AC52" s="462">
        <v>0.94</v>
      </c>
      <c r="AD52" s="462">
        <v>0.93799999999999994</v>
      </c>
      <c r="AE52" s="462">
        <v>0.93700000000000006</v>
      </c>
      <c r="AF52" s="463">
        <v>0.93600000000000005</v>
      </c>
      <c r="AG52" s="688">
        <v>0.94</v>
      </c>
      <c r="AH52" s="465">
        <v>1.0580000000000001</v>
      </c>
      <c r="AI52" s="462">
        <v>1.05</v>
      </c>
      <c r="AJ52" s="462">
        <v>1.0269999999999999</v>
      </c>
      <c r="AK52" s="462">
        <v>1.0289999999999999</v>
      </c>
      <c r="AL52" s="463">
        <v>1.032</v>
      </c>
      <c r="AM52" s="387">
        <v>1.0569999999999999</v>
      </c>
      <c r="AN52" s="465">
        <v>1.0660000000000001</v>
      </c>
      <c r="AO52" s="463">
        <v>1.0660000000000001</v>
      </c>
      <c r="AP52" s="465">
        <v>0.95599999999999996</v>
      </c>
      <c r="AQ52" s="462">
        <v>0.95299999999999996</v>
      </c>
      <c r="AR52" s="462">
        <v>0.94899999999999995</v>
      </c>
      <c r="AS52" s="462">
        <v>0.94399999999999995</v>
      </c>
      <c r="AT52" s="462">
        <v>0.94299999999999995</v>
      </c>
      <c r="AU52" s="462">
        <v>0.94599999999999995</v>
      </c>
      <c r="AV52" s="462">
        <v>0.95199999999999996</v>
      </c>
      <c r="AW52" s="462">
        <v>0.96299999999999997</v>
      </c>
      <c r="AX52" s="462">
        <v>0.95499999999999996</v>
      </c>
      <c r="AY52" s="462">
        <v>0.94699999999999995</v>
      </c>
      <c r="AZ52" s="462">
        <v>0.94599999999999995</v>
      </c>
      <c r="BA52" s="462">
        <v>0.94599999999999995</v>
      </c>
      <c r="BB52" s="462">
        <v>0.94499999999999995</v>
      </c>
      <c r="BC52" s="462">
        <v>0.94499999999999995</v>
      </c>
      <c r="BD52" s="462">
        <v>0.94399999999999995</v>
      </c>
      <c r="BE52" s="462">
        <v>0.94399999999999995</v>
      </c>
      <c r="BF52" s="462">
        <v>0.94299999999999995</v>
      </c>
      <c r="BG52" s="462">
        <v>0.94299999999999995</v>
      </c>
      <c r="BH52" s="462">
        <v>0.94199999999999995</v>
      </c>
      <c r="BI52" s="462">
        <v>0.93799999999999994</v>
      </c>
      <c r="BJ52" s="462">
        <v>0.93500000000000005</v>
      </c>
      <c r="BK52" s="462">
        <v>0.93899999999999995</v>
      </c>
      <c r="BL52" s="463">
        <v>0.94299999999999995</v>
      </c>
      <c r="BM52" s="465">
        <v>0.94499999999999995</v>
      </c>
      <c r="BN52" s="462">
        <v>0.94399999999999995</v>
      </c>
      <c r="BO52" s="462">
        <v>0.94399999999999995</v>
      </c>
      <c r="BP52" s="462">
        <v>0.94299999999999995</v>
      </c>
      <c r="BQ52" s="462">
        <v>0.94299999999999995</v>
      </c>
      <c r="BR52" s="462">
        <v>0.94299999999999995</v>
      </c>
      <c r="BS52" s="462">
        <v>0.94199999999999995</v>
      </c>
      <c r="BT52" s="462">
        <v>0.94199999999999995</v>
      </c>
      <c r="BU52" s="462">
        <v>0.94099999999999995</v>
      </c>
      <c r="BV52" s="462">
        <v>0.93799999999999994</v>
      </c>
      <c r="BW52" s="464">
        <v>0.93600000000000005</v>
      </c>
      <c r="BX52" s="465">
        <v>1.0289999999999999</v>
      </c>
      <c r="BY52" s="462">
        <v>1.0269999999999999</v>
      </c>
      <c r="BZ52" s="462">
        <v>1.026</v>
      </c>
      <c r="CA52" s="463">
        <v>1.024</v>
      </c>
      <c r="CB52" s="400">
        <v>0.95199999999999996</v>
      </c>
      <c r="CC52" s="462">
        <v>0.95199999999999996</v>
      </c>
      <c r="CD52" s="462">
        <v>0.95299999999999996</v>
      </c>
      <c r="CE52" s="464">
        <v>0.95299999999999996</v>
      </c>
      <c r="CF52" s="465">
        <v>1.03</v>
      </c>
      <c r="CG52" s="462">
        <v>1.028</v>
      </c>
      <c r="CH52" s="462">
        <v>1.026</v>
      </c>
      <c r="CI52" s="463">
        <v>1.024</v>
      </c>
      <c r="CJ52" s="400">
        <v>0.95199999999999996</v>
      </c>
      <c r="CK52" s="462">
        <v>0.94899999999999995</v>
      </c>
      <c r="CL52" s="462">
        <v>0.94599999999999995</v>
      </c>
      <c r="CM52" s="464">
        <v>0.94299999999999995</v>
      </c>
      <c r="CN52" s="465">
        <v>0.95</v>
      </c>
      <c r="CO52" s="462">
        <v>0.95</v>
      </c>
      <c r="CP52" s="462">
        <v>0.94881451612903223</v>
      </c>
      <c r="CQ52" s="462">
        <v>0.94760483870967749</v>
      </c>
      <c r="CR52" s="462">
        <v>0.9451854838709679</v>
      </c>
      <c r="CS52" s="462">
        <v>0.94400000000000006</v>
      </c>
      <c r="CT52" s="462">
        <v>0.94420240480961926</v>
      </c>
      <c r="CU52" s="462">
        <v>0.94460320641282569</v>
      </c>
      <c r="CV52" s="462">
        <v>0.94480360721442891</v>
      </c>
      <c r="CW52" s="462">
        <v>0.94499999999999995</v>
      </c>
      <c r="CX52" s="462">
        <v>0.94458870967741926</v>
      </c>
      <c r="CY52" s="462">
        <v>0.94418548387096779</v>
      </c>
      <c r="CZ52" s="462">
        <v>0.9437822580645161</v>
      </c>
      <c r="DA52" s="462">
        <v>0.94337903225806441</v>
      </c>
      <c r="DB52" s="462">
        <v>0.94297580645161294</v>
      </c>
      <c r="DC52" s="462">
        <v>0.94257258064516125</v>
      </c>
      <c r="DD52" s="462">
        <v>0.94216935483870967</v>
      </c>
      <c r="DE52" s="462">
        <v>0.94176612903225798</v>
      </c>
      <c r="DF52" s="462">
        <v>0.94099999999999995</v>
      </c>
      <c r="DG52" s="462">
        <v>0.93796078431372554</v>
      </c>
      <c r="DH52" s="462">
        <v>0.93599999999999994</v>
      </c>
      <c r="DI52" s="462">
        <v>0.94</v>
      </c>
      <c r="DJ52" s="463">
        <v>0.94400000000000006</v>
      </c>
      <c r="DK52" s="728">
        <v>0.93300000000000005</v>
      </c>
      <c r="DL52" s="713">
        <v>0.93500000000000005</v>
      </c>
      <c r="DM52" s="713">
        <v>0.93638926174496595</v>
      </c>
      <c r="DN52" s="713">
        <v>0.93500000000000005</v>
      </c>
      <c r="DO52" s="713">
        <v>0.92600000000000005</v>
      </c>
      <c r="DP52" s="713">
        <v>0.92400000000000004</v>
      </c>
      <c r="DQ52" s="714">
        <v>0.92100000000000004</v>
      </c>
      <c r="DR52" s="713">
        <v>0.9365</v>
      </c>
      <c r="DS52" s="714">
        <v>0.93799999999999994</v>
      </c>
      <c r="DT52" s="728">
        <v>0.94699999999999995</v>
      </c>
      <c r="DU52" s="713">
        <v>0.94599999999999995</v>
      </c>
      <c r="DV52" s="713">
        <v>0.94499999999999995</v>
      </c>
      <c r="DW52" s="713">
        <v>0.94399999999999995</v>
      </c>
      <c r="DX52" s="713">
        <v>0.94399999999999995</v>
      </c>
      <c r="DY52" s="713">
        <v>0.94299999999999995</v>
      </c>
      <c r="DZ52" s="713">
        <v>0.94299999999999995</v>
      </c>
      <c r="EA52" s="713">
        <v>0.94199999999999995</v>
      </c>
      <c r="EB52" s="713">
        <v>0.93799999999999994</v>
      </c>
      <c r="EC52" s="714">
        <v>0.93500000000000005</v>
      </c>
      <c r="ED52" s="713">
        <v>1.0209999999999999</v>
      </c>
      <c r="EE52" s="714">
        <v>0.93600000000000005</v>
      </c>
      <c r="EF52" s="713">
        <v>1.0189999999999999</v>
      </c>
      <c r="EG52" s="714">
        <v>1.028</v>
      </c>
      <c r="EH52" s="728">
        <v>0.92200000000000004</v>
      </c>
      <c r="EI52" s="713">
        <v>0.92</v>
      </c>
      <c r="EJ52" s="713">
        <v>0.93100000000000005</v>
      </c>
      <c r="EK52" s="713">
        <v>0.94199999999999995</v>
      </c>
      <c r="EL52" s="713">
        <v>0.94099999999999995</v>
      </c>
      <c r="EM52" s="713">
        <v>0.93933999999999995</v>
      </c>
      <c r="EN52" s="713">
        <v>0.9385</v>
      </c>
      <c r="EO52" s="713">
        <v>0.93640000000000001</v>
      </c>
      <c r="EP52" s="713">
        <v>0.93500000000000005</v>
      </c>
      <c r="EQ52" s="713">
        <v>0.93500000000000005</v>
      </c>
      <c r="ER52" s="713">
        <v>0.9365</v>
      </c>
      <c r="ES52" s="714">
        <v>0.93799999999999994</v>
      </c>
      <c r="ET52" s="728">
        <v>0.94</v>
      </c>
      <c r="EU52" s="728">
        <v>0.90799999999999992</v>
      </c>
      <c r="EV52" s="713">
        <v>0.92299999999999993</v>
      </c>
      <c r="EW52" s="713">
        <v>0.92800000000000005</v>
      </c>
      <c r="EX52" s="713">
        <v>0.93500000000000005</v>
      </c>
      <c r="EY52" s="728">
        <v>1.028</v>
      </c>
      <c r="EZ52" s="713">
        <v>1.032</v>
      </c>
      <c r="FA52" s="713">
        <v>1.036</v>
      </c>
      <c r="FB52" s="713">
        <v>1.034</v>
      </c>
      <c r="FC52" s="713">
        <v>1.0329999999999999</v>
      </c>
      <c r="FD52" s="713">
        <v>1.0309999999999999</v>
      </c>
      <c r="FE52" s="714">
        <v>1.0309999999999999</v>
      </c>
    </row>
    <row r="53" spans="1:161" s="7" customFormat="1" ht="15.6" thickBot="1" x14ac:dyDescent="0.35">
      <c r="A53" s="53" t="s">
        <v>18</v>
      </c>
      <c r="B53" s="61" t="s">
        <v>102</v>
      </c>
      <c r="C53" s="121" t="s">
        <v>110</v>
      </c>
      <c r="D53" s="524" t="s">
        <v>52</v>
      </c>
      <c r="E53" s="104">
        <f t="shared" si="7"/>
        <v>0.95030555555555574</v>
      </c>
      <c r="F53" s="105">
        <f t="shared" si="10"/>
        <v>2.2909717252468265E-2</v>
      </c>
      <c r="G53" s="105">
        <f t="shared" si="8"/>
        <v>0.90900000000000003</v>
      </c>
      <c r="H53" s="380">
        <f t="shared" si="9"/>
        <v>1.0529999999999999</v>
      </c>
      <c r="I53" s="384">
        <v>0.90900000000000003</v>
      </c>
      <c r="J53" s="303">
        <v>0.90900000000000003</v>
      </c>
      <c r="K53" s="303">
        <v>0.93500000000000005</v>
      </c>
      <c r="L53" s="303">
        <v>0.93500000000000005</v>
      </c>
      <c r="M53" s="444">
        <v>0.94699999999999995</v>
      </c>
      <c r="N53" s="444">
        <v>0.94699999999999995</v>
      </c>
      <c r="O53" s="445">
        <v>0.94699999999999995</v>
      </c>
      <c r="P53" s="446">
        <v>0.92700000000000005</v>
      </c>
      <c r="Q53" s="444">
        <v>0.93600000000000005</v>
      </c>
      <c r="R53" s="444">
        <v>0.93600000000000005</v>
      </c>
      <c r="S53" s="447">
        <v>0.93600000000000005</v>
      </c>
      <c r="T53" s="444">
        <v>0.93</v>
      </c>
      <c r="U53" s="444">
        <v>0.93</v>
      </c>
      <c r="V53" s="444">
        <v>0.92900000000000005</v>
      </c>
      <c r="W53" s="447">
        <v>0.92900000000000005</v>
      </c>
      <c r="X53" s="446">
        <v>0.91</v>
      </c>
      <c r="Y53" s="445">
        <v>0.91</v>
      </c>
      <c r="Z53" s="446">
        <v>0.91200000000000003</v>
      </c>
      <c r="AA53" s="444">
        <v>0.91500000000000004</v>
      </c>
      <c r="AB53" s="444">
        <v>0.91700000000000004</v>
      </c>
      <c r="AC53" s="444">
        <v>0.91800000000000004</v>
      </c>
      <c r="AD53" s="444">
        <v>0.91800000000000004</v>
      </c>
      <c r="AE53" s="444">
        <v>0.91900000000000004</v>
      </c>
      <c r="AF53" s="447">
        <v>0.91900000000000004</v>
      </c>
      <c r="AG53" s="691">
        <v>0.95199999999999996</v>
      </c>
      <c r="AH53" s="446">
        <v>1.05</v>
      </c>
      <c r="AI53" s="444">
        <v>1.03</v>
      </c>
      <c r="AJ53" s="444">
        <v>1.01</v>
      </c>
      <c r="AK53" s="444">
        <v>1.01</v>
      </c>
      <c r="AL53" s="447">
        <v>1.01</v>
      </c>
      <c r="AM53" s="388">
        <v>0.996</v>
      </c>
      <c r="AN53" s="446">
        <v>1.0529999999999999</v>
      </c>
      <c r="AO53" s="447">
        <v>1.0529999999999999</v>
      </c>
      <c r="AP53" s="446">
        <v>0.94299999999999995</v>
      </c>
      <c r="AQ53" s="444">
        <v>0.94099999999999995</v>
      </c>
      <c r="AR53" s="444">
        <v>0.94299999999999995</v>
      </c>
      <c r="AS53" s="444">
        <v>0.94599999999999995</v>
      </c>
      <c r="AT53" s="444">
        <v>0.94799999999999995</v>
      </c>
      <c r="AU53" s="444">
        <v>0.94799999999999995</v>
      </c>
      <c r="AV53" s="444">
        <v>0.94899999999999995</v>
      </c>
      <c r="AW53" s="444">
        <v>0.94899999999999995</v>
      </c>
      <c r="AX53" s="444">
        <v>0.94899999999999995</v>
      </c>
      <c r="AY53" s="444">
        <v>0.94899999999999995</v>
      </c>
      <c r="AZ53" s="444">
        <v>0.94799999999999995</v>
      </c>
      <c r="BA53" s="444">
        <v>0.94599999999999995</v>
      </c>
      <c r="BB53" s="444">
        <v>0.94499999999999995</v>
      </c>
      <c r="BC53" s="444">
        <v>0.94399999999999995</v>
      </c>
      <c r="BD53" s="444">
        <v>0.94199999999999995</v>
      </c>
      <c r="BE53" s="444">
        <v>0.94099999999999995</v>
      </c>
      <c r="BF53" s="444">
        <v>0.94</v>
      </c>
      <c r="BG53" s="444">
        <v>0.93799999999999994</v>
      </c>
      <c r="BH53" s="444">
        <v>0.93600000000000005</v>
      </c>
      <c r="BI53" s="444">
        <v>0.93600000000000005</v>
      </c>
      <c r="BJ53" s="444">
        <v>0.93600000000000005</v>
      </c>
      <c r="BK53" s="444">
        <v>0.93799999999999994</v>
      </c>
      <c r="BL53" s="447">
        <v>0.93899999999999995</v>
      </c>
      <c r="BM53" s="446">
        <v>0.94899999999999995</v>
      </c>
      <c r="BN53" s="444">
        <v>0.94699999999999995</v>
      </c>
      <c r="BO53" s="444">
        <v>0.94599999999999995</v>
      </c>
      <c r="BP53" s="444">
        <v>0.94399999999999995</v>
      </c>
      <c r="BQ53" s="444">
        <v>0.94199999999999995</v>
      </c>
      <c r="BR53" s="444">
        <v>0.94099999999999995</v>
      </c>
      <c r="BS53" s="444">
        <v>0.94</v>
      </c>
      <c r="BT53" s="444">
        <v>0.93799999999999994</v>
      </c>
      <c r="BU53" s="444">
        <v>0.93600000000000005</v>
      </c>
      <c r="BV53" s="444">
        <v>0.93600000000000005</v>
      </c>
      <c r="BW53" s="445">
        <v>0.93600000000000005</v>
      </c>
      <c r="BX53" s="446">
        <v>1.028</v>
      </c>
      <c r="BY53" s="444">
        <v>1.028</v>
      </c>
      <c r="BZ53" s="444">
        <v>1.028</v>
      </c>
      <c r="CA53" s="447">
        <v>1.028</v>
      </c>
      <c r="CB53" s="394">
        <v>0.95399999999999996</v>
      </c>
      <c r="CC53" s="444">
        <v>0.95399999999999996</v>
      </c>
      <c r="CD53" s="444">
        <v>0.95399999999999996</v>
      </c>
      <c r="CE53" s="445">
        <v>0.95399999999999996</v>
      </c>
      <c r="CF53" s="446">
        <v>1.018</v>
      </c>
      <c r="CG53" s="444">
        <v>1.018</v>
      </c>
      <c r="CH53" s="444">
        <v>1.018</v>
      </c>
      <c r="CI53" s="447">
        <v>1.018</v>
      </c>
      <c r="CJ53" s="394">
        <v>0.94699999999999995</v>
      </c>
      <c r="CK53" s="444">
        <v>0.94699999999999995</v>
      </c>
      <c r="CL53" s="444">
        <v>0.94699999999999995</v>
      </c>
      <c r="CM53" s="445">
        <v>0.94699999999999995</v>
      </c>
      <c r="CN53" s="446">
        <v>0.93400000000000005</v>
      </c>
      <c r="CO53" s="444">
        <v>0.93900000000000006</v>
      </c>
      <c r="CP53" s="444">
        <v>0.94077822580645165</v>
      </c>
      <c r="CQ53" s="444">
        <v>0.94259274193548392</v>
      </c>
      <c r="CR53" s="444">
        <v>0.94622177419354836</v>
      </c>
      <c r="CS53" s="444">
        <v>0.94799999999999995</v>
      </c>
      <c r="CT53" s="444">
        <v>0.94739278557114237</v>
      </c>
      <c r="CU53" s="444">
        <v>0.94619038076152306</v>
      </c>
      <c r="CV53" s="444">
        <v>0.94558917835671341</v>
      </c>
      <c r="CW53" s="444">
        <v>0.94499999999999995</v>
      </c>
      <c r="CX53" s="444">
        <v>0.94407459677419359</v>
      </c>
      <c r="CY53" s="444">
        <v>0.94316733870967739</v>
      </c>
      <c r="CZ53" s="444">
        <v>0.9422600806451612</v>
      </c>
      <c r="DA53" s="444">
        <v>0.94135282258064512</v>
      </c>
      <c r="DB53" s="444">
        <v>0.94044556451612904</v>
      </c>
      <c r="DC53" s="444">
        <v>0.93953830645161285</v>
      </c>
      <c r="DD53" s="444">
        <v>0.93863104838709677</v>
      </c>
      <c r="DE53" s="444">
        <v>0.93772379032258057</v>
      </c>
      <c r="DF53" s="444">
        <v>0.93599999999999994</v>
      </c>
      <c r="DG53" s="444">
        <v>0.93599999999999994</v>
      </c>
      <c r="DH53" s="444">
        <v>0.93599999999999994</v>
      </c>
      <c r="DI53" s="444">
        <v>0.9375</v>
      </c>
      <c r="DJ53" s="447">
        <v>0.93900000000000006</v>
      </c>
      <c r="DK53" s="732">
        <v>0.92200000000000004</v>
      </c>
      <c r="DL53" s="733">
        <v>0.93400000000000005</v>
      </c>
      <c r="DM53" s="733">
        <v>0.945724832214765</v>
      </c>
      <c r="DN53" s="733">
        <v>0.95699999999999996</v>
      </c>
      <c r="DO53" s="733">
        <v>0.95699999999999996</v>
      </c>
      <c r="DP53" s="733">
        <v>0.92300000000000004</v>
      </c>
      <c r="DQ53" s="734">
        <v>0.92300000000000004</v>
      </c>
      <c r="DR53" s="733">
        <v>0.94499999999999995</v>
      </c>
      <c r="DS53" s="734">
        <v>0.94499999999999995</v>
      </c>
      <c r="DT53" s="732">
        <v>0.94899999999999995</v>
      </c>
      <c r="DU53" s="733">
        <v>0.94599999999999995</v>
      </c>
      <c r="DV53" s="733">
        <v>0.94399999999999995</v>
      </c>
      <c r="DW53" s="733">
        <v>0.94199999999999995</v>
      </c>
      <c r="DX53" s="733">
        <v>0.94099999999999995</v>
      </c>
      <c r="DY53" s="733">
        <v>0.94</v>
      </c>
      <c r="DZ53" s="733">
        <v>0.93799999999999994</v>
      </c>
      <c r="EA53" s="733">
        <v>0.93600000000000005</v>
      </c>
      <c r="EB53" s="733">
        <v>0.93600000000000005</v>
      </c>
      <c r="EC53" s="734">
        <v>0.93600000000000005</v>
      </c>
      <c r="ED53" s="733">
        <v>0.99399999999999999</v>
      </c>
      <c r="EE53" s="734">
        <v>0.90500000000000003</v>
      </c>
      <c r="EF53" s="733">
        <v>0.98399999999999999</v>
      </c>
      <c r="EG53" s="734">
        <v>0.98399999999999999</v>
      </c>
      <c r="EH53" s="732">
        <v>0.91</v>
      </c>
      <c r="EI53" s="733">
        <v>0.91400000000000003</v>
      </c>
      <c r="EJ53" s="733">
        <v>0.92300000000000004</v>
      </c>
      <c r="EK53" s="733">
        <v>0.93200000000000005</v>
      </c>
      <c r="EL53" s="733">
        <v>0.93500000000000005</v>
      </c>
      <c r="EM53" s="733">
        <v>0.93732000000000004</v>
      </c>
      <c r="EN53" s="733">
        <v>0.93899999999999995</v>
      </c>
      <c r="EO53" s="733">
        <v>0.94320000000000004</v>
      </c>
      <c r="EP53" s="733">
        <v>0.94599999999999995</v>
      </c>
      <c r="EQ53" s="733">
        <v>0.94599999999999995</v>
      </c>
      <c r="ER53" s="733">
        <v>0.94499999999999995</v>
      </c>
      <c r="ES53" s="734">
        <v>0.94499999999999995</v>
      </c>
      <c r="ET53" s="732">
        <v>0.91700000000000004</v>
      </c>
      <c r="EU53" s="732">
        <v>0.93400000000000005</v>
      </c>
      <c r="EV53" s="733">
        <v>0.92599999999999993</v>
      </c>
      <c r="EW53" s="733">
        <v>0.92400000000000004</v>
      </c>
      <c r="EX53" s="733">
        <v>0.92</v>
      </c>
      <c r="EY53" s="732">
        <v>1.0209999999999999</v>
      </c>
      <c r="EZ53" s="733">
        <v>1.032</v>
      </c>
      <c r="FA53" s="733">
        <v>1.042</v>
      </c>
      <c r="FB53" s="733">
        <v>1.0249999999999999</v>
      </c>
      <c r="FC53" s="733">
        <v>1.01</v>
      </c>
      <c r="FD53" s="733">
        <v>0.98599999999999999</v>
      </c>
      <c r="FE53" s="734">
        <v>0.98599999999999999</v>
      </c>
    </row>
    <row r="54" spans="1:161" s="7" customFormat="1" ht="25.05" customHeight="1" thickBot="1" x14ac:dyDescent="0.35">
      <c r="A54" s="470"/>
      <c r="B54" s="470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  <c r="AB54" s="471"/>
      <c r="AC54" s="471"/>
      <c r="AD54" s="471"/>
    </row>
    <row r="55" spans="1:161" s="37" customFormat="1" ht="16.2" thickBot="1" x14ac:dyDescent="0.35">
      <c r="A55" s="115" t="s">
        <v>19</v>
      </c>
      <c r="B55" s="116"/>
      <c r="C55" s="116"/>
      <c r="D55" s="375" t="s">
        <v>19</v>
      </c>
      <c r="E55" s="1013" t="s">
        <v>19</v>
      </c>
      <c r="F55" s="1014"/>
      <c r="G55" s="1014"/>
      <c r="H55" s="1014"/>
      <c r="I55" s="921" t="s">
        <v>19</v>
      </c>
      <c r="J55" s="922"/>
      <c r="K55" s="922"/>
      <c r="L55" s="922"/>
      <c r="M55" s="922"/>
      <c r="N55" s="922"/>
      <c r="O55" s="922"/>
      <c r="P55" s="922"/>
      <c r="Q55" s="922"/>
      <c r="R55" s="922"/>
      <c r="S55" s="922"/>
      <c r="T55" s="922"/>
      <c r="U55" s="922"/>
      <c r="V55" s="922"/>
      <c r="W55" s="922"/>
      <c r="X55" s="922"/>
      <c r="Y55" s="923"/>
    </row>
    <row r="56" spans="1:161" s="7" customFormat="1" ht="40.049999999999997" customHeight="1" thickBot="1" x14ac:dyDescent="0.35">
      <c r="A56" s="1025">
        <f>COUNTA(I56:Z56)</f>
        <v>17</v>
      </c>
      <c r="B56" s="1025"/>
      <c r="C56" s="1026"/>
      <c r="D56" s="262" t="s">
        <v>0</v>
      </c>
      <c r="E56" s="110" t="s">
        <v>31</v>
      </c>
      <c r="F56" s="573" t="s">
        <v>512</v>
      </c>
      <c r="G56" s="111" t="s">
        <v>57</v>
      </c>
      <c r="H56" s="620" t="s">
        <v>58</v>
      </c>
      <c r="I56" s="735" t="s">
        <v>566</v>
      </c>
      <c r="J56" s="736" t="s">
        <v>567</v>
      </c>
      <c r="K56" s="736" t="s">
        <v>568</v>
      </c>
      <c r="L56" s="736" t="s">
        <v>569</v>
      </c>
      <c r="M56" s="736" t="s">
        <v>570</v>
      </c>
      <c r="N56" s="736" t="s">
        <v>571</v>
      </c>
      <c r="O56" s="736" t="s">
        <v>572</v>
      </c>
      <c r="P56" s="736" t="s">
        <v>573</v>
      </c>
      <c r="Q56" s="736" t="s">
        <v>574</v>
      </c>
      <c r="R56" s="736" t="s">
        <v>575</v>
      </c>
      <c r="S56" s="736" t="s">
        <v>576</v>
      </c>
      <c r="T56" s="736" t="s">
        <v>577</v>
      </c>
      <c r="U56" s="736" t="s">
        <v>578</v>
      </c>
      <c r="V56" s="736" t="s">
        <v>579</v>
      </c>
      <c r="W56" s="736" t="s">
        <v>580</v>
      </c>
      <c r="X56" s="736" t="s">
        <v>581</v>
      </c>
      <c r="Y56" s="737" t="s">
        <v>582</v>
      </c>
    </row>
    <row r="57" spans="1:161" s="7" customFormat="1" ht="15" customHeight="1" thickBot="1" x14ac:dyDescent="0.35">
      <c r="A57" s="1027"/>
      <c r="B57" s="1027"/>
      <c r="C57" s="1028"/>
      <c r="D57" s="36" t="s">
        <v>33</v>
      </c>
      <c r="E57" s="971" t="s">
        <v>513</v>
      </c>
      <c r="F57" s="972"/>
      <c r="G57" s="972"/>
      <c r="H57" s="972"/>
      <c r="I57" s="915" t="s">
        <v>29</v>
      </c>
      <c r="J57" s="916"/>
      <c r="K57" s="916"/>
      <c r="L57" s="916"/>
      <c r="M57" s="916"/>
      <c r="N57" s="916"/>
      <c r="O57" s="916"/>
      <c r="P57" s="916"/>
      <c r="Q57" s="916"/>
      <c r="R57" s="916"/>
      <c r="S57" s="916"/>
      <c r="T57" s="916"/>
      <c r="U57" s="916"/>
      <c r="V57" s="916"/>
      <c r="W57" s="916"/>
      <c r="X57" s="916"/>
      <c r="Y57" s="917"/>
    </row>
    <row r="58" spans="1:161" s="7" customFormat="1" ht="15" customHeight="1" thickBot="1" x14ac:dyDescent="0.35">
      <c r="A58" s="57" t="s">
        <v>54</v>
      </c>
      <c r="B58" s="74" t="s">
        <v>55</v>
      </c>
      <c r="C58" s="62" t="s">
        <v>1</v>
      </c>
      <c r="D58" s="56" t="s">
        <v>32</v>
      </c>
      <c r="E58" s="971"/>
      <c r="F58" s="972"/>
      <c r="G58" s="972"/>
      <c r="H58" s="972"/>
      <c r="I58" s="918"/>
      <c r="J58" s="919"/>
      <c r="K58" s="919"/>
      <c r="L58" s="919"/>
      <c r="M58" s="919"/>
      <c r="N58" s="919"/>
      <c r="O58" s="919"/>
      <c r="P58" s="919"/>
      <c r="Q58" s="919"/>
      <c r="R58" s="919"/>
      <c r="S58" s="919"/>
      <c r="T58" s="919"/>
      <c r="U58" s="919"/>
      <c r="V58" s="919"/>
      <c r="W58" s="919"/>
      <c r="X58" s="919"/>
      <c r="Y58" s="920"/>
    </row>
    <row r="59" spans="1:161" s="47" customFormat="1" ht="15" customHeight="1" x14ac:dyDescent="0.3">
      <c r="A59" s="45" t="s">
        <v>5</v>
      </c>
      <c r="B59" s="60" t="s">
        <v>21</v>
      </c>
      <c r="C59" s="8" t="s">
        <v>69</v>
      </c>
      <c r="D59" s="522" t="s">
        <v>52</v>
      </c>
      <c r="E59" s="99">
        <f>AVERAGE(I59:Z59)</f>
        <v>58.858823529411765</v>
      </c>
      <c r="F59" s="100">
        <f>AVEDEV(I59:Z59)</f>
        <v>39.040830449826991</v>
      </c>
      <c r="G59" s="100">
        <f>MIN(I59:Z59)</f>
        <v>12.5</v>
      </c>
      <c r="H59" s="626">
        <f>MAX(I59:Z59)</f>
        <v>160</v>
      </c>
      <c r="I59" s="738">
        <v>12.5</v>
      </c>
      <c r="J59" s="739">
        <v>14.5</v>
      </c>
      <c r="K59" s="739">
        <v>14.1</v>
      </c>
      <c r="L59" s="739">
        <v>19.5</v>
      </c>
      <c r="M59" s="741">
        <v>20</v>
      </c>
      <c r="N59" s="741">
        <v>25</v>
      </c>
      <c r="O59" s="741">
        <v>30</v>
      </c>
      <c r="P59" s="741">
        <v>35</v>
      </c>
      <c r="Q59" s="741">
        <v>40</v>
      </c>
      <c r="R59" s="741">
        <v>49</v>
      </c>
      <c r="S59" s="741">
        <v>56</v>
      </c>
      <c r="T59" s="741">
        <v>75</v>
      </c>
      <c r="U59" s="741">
        <v>85</v>
      </c>
      <c r="V59" s="741">
        <v>100</v>
      </c>
      <c r="W59" s="741">
        <v>120</v>
      </c>
      <c r="X59" s="741">
        <v>145</v>
      </c>
      <c r="Y59" s="742">
        <v>160</v>
      </c>
      <c r="Z59" s="621"/>
    </row>
    <row r="60" spans="1:161" s="47" customFormat="1" ht="15" customHeight="1" x14ac:dyDescent="0.3">
      <c r="A60" s="49" t="s">
        <v>6</v>
      </c>
      <c r="B60" s="44" t="s">
        <v>22</v>
      </c>
      <c r="C60" s="9" t="s">
        <v>70</v>
      </c>
      <c r="D60" s="523" t="s">
        <v>52</v>
      </c>
      <c r="E60" s="101"/>
      <c r="F60" s="97"/>
      <c r="G60" s="97"/>
      <c r="H60" s="627"/>
      <c r="I60" s="728"/>
      <c r="J60" s="713"/>
      <c r="K60" s="713"/>
      <c r="L60" s="713"/>
      <c r="M60" s="713"/>
      <c r="N60" s="713"/>
      <c r="O60" s="713"/>
      <c r="P60" s="713"/>
      <c r="Q60" s="713"/>
      <c r="R60" s="713"/>
      <c r="S60" s="713"/>
      <c r="T60" s="713"/>
      <c r="U60" s="713"/>
      <c r="V60" s="713"/>
      <c r="W60" s="713"/>
      <c r="X60" s="713"/>
      <c r="Y60" s="714"/>
      <c r="Z60" s="622"/>
    </row>
    <row r="61" spans="1:161" s="47" customFormat="1" ht="15" customHeight="1" x14ac:dyDescent="0.3">
      <c r="A61" s="49" t="s">
        <v>64</v>
      </c>
      <c r="B61" s="59" t="s">
        <v>23</v>
      </c>
      <c r="C61" s="9" t="s">
        <v>70</v>
      </c>
      <c r="D61" s="523" t="s">
        <v>61</v>
      </c>
      <c r="E61" s="102"/>
      <c r="F61" s="98"/>
      <c r="G61" s="98"/>
      <c r="H61" s="628"/>
      <c r="I61" s="730">
        <v>0.3</v>
      </c>
      <c r="J61" s="719">
        <v>0.3</v>
      </c>
      <c r="K61" s="719">
        <v>0.3</v>
      </c>
      <c r="L61" s="719">
        <v>0.3</v>
      </c>
      <c r="M61" s="719">
        <v>0.3</v>
      </c>
      <c r="N61" s="719">
        <v>0.3</v>
      </c>
      <c r="O61" s="719">
        <v>0.3</v>
      </c>
      <c r="P61" s="719">
        <v>0.3</v>
      </c>
      <c r="Q61" s="719">
        <v>0.3</v>
      </c>
      <c r="R61" s="719">
        <v>0.3</v>
      </c>
      <c r="S61" s="719">
        <v>0.3</v>
      </c>
      <c r="T61" s="719">
        <v>0.3</v>
      </c>
      <c r="U61" s="719">
        <v>0.3</v>
      </c>
      <c r="V61" s="719">
        <v>0.3</v>
      </c>
      <c r="W61" s="719">
        <v>0.3</v>
      </c>
      <c r="X61" s="719">
        <v>0.3</v>
      </c>
      <c r="Y61" s="720">
        <v>0.3</v>
      </c>
      <c r="Z61" s="623"/>
    </row>
    <row r="62" spans="1:161" s="47" customFormat="1" ht="15" customHeight="1" x14ac:dyDescent="0.3">
      <c r="A62" s="49" t="s">
        <v>3</v>
      </c>
      <c r="B62" s="44" t="s">
        <v>278</v>
      </c>
      <c r="C62" s="9" t="s">
        <v>71</v>
      </c>
      <c r="D62" s="523" t="s">
        <v>52</v>
      </c>
      <c r="E62" s="103">
        <f>AVERAGE(I62:Z62)</f>
        <v>76.282352941176484</v>
      </c>
      <c r="F62" s="96">
        <f>AVEDEV(I62:Z62)</f>
        <v>3.3709342560553703</v>
      </c>
      <c r="G62" s="96">
        <f>MIN(I62:Z62)</f>
        <v>72.5</v>
      </c>
      <c r="H62" s="629">
        <f>MAX(I62:Z62)</f>
        <v>86</v>
      </c>
      <c r="I62" s="729">
        <v>74.5</v>
      </c>
      <c r="J62" s="716">
        <v>74.5</v>
      </c>
      <c r="K62" s="716">
        <v>86</v>
      </c>
      <c r="L62" s="716">
        <v>74.5</v>
      </c>
      <c r="M62" s="716">
        <v>86</v>
      </c>
      <c r="N62" s="716">
        <v>85.5</v>
      </c>
      <c r="O62" s="716">
        <v>75.7</v>
      </c>
      <c r="P62" s="716">
        <v>75.7</v>
      </c>
      <c r="Q62" s="716">
        <v>75.7</v>
      </c>
      <c r="R62" s="716">
        <v>73.900000000000006</v>
      </c>
      <c r="S62" s="716">
        <v>73.900000000000006</v>
      </c>
      <c r="T62" s="716">
        <v>73.900000000000006</v>
      </c>
      <c r="U62" s="716">
        <v>74</v>
      </c>
      <c r="V62" s="716">
        <v>74</v>
      </c>
      <c r="W62" s="716">
        <v>74</v>
      </c>
      <c r="X62" s="716">
        <v>72.5</v>
      </c>
      <c r="Y62" s="717">
        <v>72.5</v>
      </c>
      <c r="Z62" s="622"/>
    </row>
    <row r="63" spans="1:161" s="47" customFormat="1" ht="15" customHeight="1" x14ac:dyDescent="0.3">
      <c r="A63" s="49" t="s">
        <v>4</v>
      </c>
      <c r="B63" s="44" t="s">
        <v>153</v>
      </c>
      <c r="C63" s="9" t="s">
        <v>71</v>
      </c>
      <c r="D63" s="523" t="s">
        <v>52</v>
      </c>
      <c r="E63" s="103">
        <f>AVERAGE(I63:Z63)</f>
        <v>77.235294117647058</v>
      </c>
      <c r="F63" s="96">
        <f>AVEDEV(I63:Z63)</f>
        <v>3.9404844290657439</v>
      </c>
      <c r="G63" s="96">
        <f>MIN(I63:Z63)</f>
        <v>73.599999999999994</v>
      </c>
      <c r="H63" s="629">
        <f>MAX(I63:Z63)</f>
        <v>89.8</v>
      </c>
      <c r="I63" s="731">
        <v>73.599999999999994</v>
      </c>
      <c r="J63" s="722">
        <v>73.599999999999994</v>
      </c>
      <c r="K63" s="722">
        <v>89.8</v>
      </c>
      <c r="L63" s="722">
        <v>73.599999999999994</v>
      </c>
      <c r="M63" s="722">
        <v>89.8</v>
      </c>
      <c r="N63" s="722">
        <v>85.6</v>
      </c>
      <c r="O63" s="722">
        <v>74.5</v>
      </c>
      <c r="P63" s="722">
        <v>74.5</v>
      </c>
      <c r="Q63" s="722">
        <v>74.5</v>
      </c>
      <c r="R63" s="722">
        <v>76.5</v>
      </c>
      <c r="S63" s="722">
        <v>76.5</v>
      </c>
      <c r="T63" s="722">
        <v>76.5</v>
      </c>
      <c r="U63" s="722">
        <v>75</v>
      </c>
      <c r="V63" s="722">
        <v>75</v>
      </c>
      <c r="W63" s="722">
        <v>75</v>
      </c>
      <c r="X63" s="722">
        <v>74.5</v>
      </c>
      <c r="Y63" s="723">
        <v>74.5</v>
      </c>
      <c r="Z63" s="622"/>
    </row>
    <row r="64" spans="1:161" s="47" customFormat="1" ht="15" customHeight="1" x14ac:dyDescent="0.3">
      <c r="A64" s="49" t="s">
        <v>59</v>
      </c>
      <c r="B64" s="44" t="s">
        <v>26</v>
      </c>
      <c r="C64" s="9" t="s">
        <v>69</v>
      </c>
      <c r="D64" s="523" t="s">
        <v>52</v>
      </c>
      <c r="E64" s="101">
        <f>AVERAGE(I64:Z64)</f>
        <v>0.16470588235294117</v>
      </c>
      <c r="F64" s="97">
        <f>AVEDEV(I64:Z64)</f>
        <v>4.9017301038062289E-2</v>
      </c>
      <c r="G64" s="97">
        <f>MIN(I64:Z64)</f>
        <v>9.5000000000000001E-2</v>
      </c>
      <c r="H64" s="627">
        <f>MAX(I64:Z64)</f>
        <v>0.26700000000000002</v>
      </c>
      <c r="I64" s="727">
        <v>0.185</v>
      </c>
      <c r="J64" s="725">
        <v>0.185</v>
      </c>
      <c r="K64" s="725">
        <v>0.16700000000000001</v>
      </c>
      <c r="L64" s="725">
        <v>0.13900000000000001</v>
      </c>
      <c r="M64" s="725">
        <v>0.13600000000000001</v>
      </c>
      <c r="N64" s="725">
        <v>0.111</v>
      </c>
      <c r="O64" s="725">
        <v>9.5000000000000001E-2</v>
      </c>
      <c r="P64" s="725">
        <v>9.9000000000000005E-2</v>
      </c>
      <c r="Q64" s="725">
        <v>0.10100000000000001</v>
      </c>
      <c r="R64" s="725">
        <v>0.11</v>
      </c>
      <c r="S64" s="725">
        <v>0.11</v>
      </c>
      <c r="T64" s="725">
        <v>0.16900000000000001</v>
      </c>
      <c r="U64" s="725">
        <v>0.183</v>
      </c>
      <c r="V64" s="725">
        <v>0.25</v>
      </c>
      <c r="W64" s="725">
        <v>0.26700000000000002</v>
      </c>
      <c r="X64" s="725">
        <v>0.23300000000000001</v>
      </c>
      <c r="Y64" s="726">
        <v>0.26</v>
      </c>
      <c r="Z64" s="622"/>
    </row>
    <row r="65" spans="1:138" s="47" customFormat="1" ht="15" customHeight="1" x14ac:dyDescent="0.3">
      <c r="A65" s="49" t="s">
        <v>51</v>
      </c>
      <c r="B65" s="44" t="s">
        <v>27</v>
      </c>
      <c r="C65" s="9" t="s">
        <v>69</v>
      </c>
      <c r="D65" s="523" t="s">
        <v>52</v>
      </c>
      <c r="E65" s="101"/>
      <c r="F65" s="97"/>
      <c r="G65" s="97"/>
      <c r="H65" s="627"/>
      <c r="I65" s="728">
        <v>0.12</v>
      </c>
      <c r="J65" s="713">
        <v>0.12</v>
      </c>
      <c r="K65" s="713">
        <v>8.5000000000000006E-2</v>
      </c>
      <c r="L65" s="713">
        <v>7.0999999999999994E-2</v>
      </c>
      <c r="M65" s="713">
        <v>7.0000000000000007E-2</v>
      </c>
      <c r="N65" s="713">
        <v>5.8000000000000003E-2</v>
      </c>
      <c r="O65" s="713">
        <v>0.05</v>
      </c>
      <c r="P65" s="713">
        <v>0.05</v>
      </c>
      <c r="Q65" s="713">
        <v>0.05</v>
      </c>
      <c r="R65" s="713">
        <v>0.05</v>
      </c>
      <c r="S65" s="713">
        <v>0.05</v>
      </c>
      <c r="T65" s="713">
        <v>6.8000000000000005E-2</v>
      </c>
      <c r="U65" s="713">
        <v>7.6999999999999999E-2</v>
      </c>
      <c r="V65" s="713">
        <v>9.0999999999999998E-2</v>
      </c>
      <c r="W65" s="713">
        <v>0.11</v>
      </c>
      <c r="X65" s="713">
        <v>0.13500000000000001</v>
      </c>
      <c r="Y65" s="714">
        <v>0.13500000000000001</v>
      </c>
      <c r="Z65" s="622"/>
    </row>
    <row r="66" spans="1:138" s="47" customFormat="1" ht="15" customHeight="1" x14ac:dyDescent="0.3">
      <c r="A66" s="51" t="s">
        <v>60</v>
      </c>
      <c r="B66" s="59" t="s">
        <v>28</v>
      </c>
      <c r="C66" s="9" t="s">
        <v>69</v>
      </c>
      <c r="D66" s="523" t="s">
        <v>52</v>
      </c>
      <c r="E66" s="101">
        <f>AVERAGE(I66:Z66)</f>
        <v>1.4000000000000005E-2</v>
      </c>
      <c r="F66" s="97">
        <f>AVEDEV(I66:Z66)</f>
        <v>5.2041704279304213E-18</v>
      </c>
      <c r="G66" s="97">
        <f>MIN(I66:Z66)</f>
        <v>1.4E-2</v>
      </c>
      <c r="H66" s="627">
        <f>MAX(I66:Z66)</f>
        <v>1.4E-2</v>
      </c>
      <c r="I66" s="731">
        <v>1.4E-2</v>
      </c>
      <c r="J66" s="722">
        <v>1.4E-2</v>
      </c>
      <c r="K66" s="722">
        <v>1.4E-2</v>
      </c>
      <c r="L66" s="722">
        <v>1.4E-2</v>
      </c>
      <c r="M66" s="722">
        <v>1.4E-2</v>
      </c>
      <c r="N66" s="722">
        <v>1.4E-2</v>
      </c>
      <c r="O66" s="722">
        <v>1.4E-2</v>
      </c>
      <c r="P66" s="722">
        <v>1.4E-2</v>
      </c>
      <c r="Q66" s="722">
        <v>1.4E-2</v>
      </c>
      <c r="R66" s="722">
        <v>1.4E-2</v>
      </c>
      <c r="S66" s="722">
        <v>1.4E-2</v>
      </c>
      <c r="T66" s="722">
        <v>1.4E-2</v>
      </c>
      <c r="U66" s="722">
        <v>1.4E-2</v>
      </c>
      <c r="V66" s="722">
        <v>1.4E-2</v>
      </c>
      <c r="W66" s="722">
        <v>1.4E-2</v>
      </c>
      <c r="X66" s="722">
        <v>1.4E-2</v>
      </c>
      <c r="Y66" s="723">
        <v>1.4E-2</v>
      </c>
      <c r="Z66" s="624"/>
    </row>
    <row r="67" spans="1:138" s="47" customFormat="1" ht="15" customHeight="1" x14ac:dyDescent="0.3">
      <c r="A67" s="49" t="s">
        <v>17</v>
      </c>
      <c r="B67" s="44" t="s">
        <v>101</v>
      </c>
      <c r="C67" s="9" t="s">
        <v>70</v>
      </c>
      <c r="D67" s="523" t="s">
        <v>52</v>
      </c>
      <c r="E67" s="101">
        <f>AVERAGE(I67:Z67)</f>
        <v>0.94176470588235306</v>
      </c>
      <c r="F67" s="97">
        <f>AVEDEV(I67:Z67)</f>
        <v>2.8927335640138198E-3</v>
      </c>
      <c r="G67" s="97">
        <f>MIN(I67:Z67)</f>
        <v>0.93299999999999994</v>
      </c>
      <c r="H67" s="627">
        <f>MAX(I67:Z67)</f>
        <v>0.94499999999999995</v>
      </c>
      <c r="I67" s="731">
        <v>0.94400000000000006</v>
      </c>
      <c r="J67" s="722">
        <v>0.94400000000000006</v>
      </c>
      <c r="K67" s="722">
        <v>0.93299999999999994</v>
      </c>
      <c r="L67" s="722">
        <v>0.93700000000000006</v>
      </c>
      <c r="M67" s="722">
        <v>0.93599999999999994</v>
      </c>
      <c r="N67" s="722">
        <v>0.94</v>
      </c>
      <c r="O67" s="722">
        <v>0.94499999999999995</v>
      </c>
      <c r="P67" s="722">
        <v>0.94499999999999995</v>
      </c>
      <c r="Q67" s="722">
        <v>0.94400000000000006</v>
      </c>
      <c r="R67" s="722">
        <v>0.94299999999999995</v>
      </c>
      <c r="S67" s="722">
        <v>0.94299999999999995</v>
      </c>
      <c r="T67" s="722">
        <v>0.94400000000000006</v>
      </c>
      <c r="U67" s="722">
        <v>0.94400000000000006</v>
      </c>
      <c r="V67" s="722">
        <v>0.94499999999999995</v>
      </c>
      <c r="W67" s="722">
        <v>0.94299999999999995</v>
      </c>
      <c r="X67" s="722">
        <v>0.94</v>
      </c>
      <c r="Y67" s="723">
        <v>0.94</v>
      </c>
      <c r="Z67" s="625"/>
    </row>
    <row r="68" spans="1:138" s="47" customFormat="1" ht="15" customHeight="1" thickBot="1" x14ac:dyDescent="0.35">
      <c r="A68" s="53" t="s">
        <v>18</v>
      </c>
      <c r="B68" s="61" t="s">
        <v>102</v>
      </c>
      <c r="C68" s="10" t="s">
        <v>70</v>
      </c>
      <c r="D68" s="524" t="s">
        <v>52</v>
      </c>
      <c r="E68" s="104">
        <f>AVERAGE(I68:Z68)</f>
        <v>0.93111764705882338</v>
      </c>
      <c r="F68" s="105">
        <f>AVEDEV(I68:Z68)</f>
        <v>9.0519031141868579E-3</v>
      </c>
      <c r="G68" s="105">
        <f>MIN(I68:Z68)</f>
        <v>0.91500000000000004</v>
      </c>
      <c r="H68" s="630">
        <f>MAX(I68:Z68)</f>
        <v>0.94900000000000007</v>
      </c>
      <c r="I68" s="732">
        <v>0.92</v>
      </c>
      <c r="J68" s="733">
        <v>0.92</v>
      </c>
      <c r="K68" s="733">
        <v>0.91700000000000004</v>
      </c>
      <c r="L68" s="733">
        <v>0.93</v>
      </c>
      <c r="M68" s="733">
        <v>0.92700000000000005</v>
      </c>
      <c r="N68" s="733">
        <v>0.94299999999999995</v>
      </c>
      <c r="O68" s="733">
        <v>0.91500000000000004</v>
      </c>
      <c r="P68" s="733">
        <v>0.92</v>
      </c>
      <c r="Q68" s="733">
        <v>0.92299999999999993</v>
      </c>
      <c r="R68" s="733">
        <v>0.93400000000000005</v>
      </c>
      <c r="S68" s="733">
        <v>0.93400000000000005</v>
      </c>
      <c r="T68" s="733">
        <v>0.93500000000000005</v>
      </c>
      <c r="U68" s="733">
        <v>0.93599999999999994</v>
      </c>
      <c r="V68" s="733">
        <v>0.93700000000000006</v>
      </c>
      <c r="W68" s="733">
        <v>0.94</v>
      </c>
      <c r="X68" s="733">
        <v>0.94900000000000007</v>
      </c>
      <c r="Y68" s="734">
        <v>0.94900000000000007</v>
      </c>
      <c r="Z68" s="625"/>
    </row>
    <row r="69" spans="1:138" s="7" customFormat="1" ht="25.05" customHeight="1" thickBot="1" x14ac:dyDescent="0.35">
      <c r="A69" s="470"/>
      <c r="B69" s="470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</row>
    <row r="70" spans="1:138" s="55" customFormat="1" ht="15" customHeight="1" thickBot="1" x14ac:dyDescent="0.35">
      <c r="A70" s="115" t="s">
        <v>241</v>
      </c>
      <c r="B70" s="116"/>
      <c r="C70" s="116"/>
      <c r="D70" s="375" t="s">
        <v>241</v>
      </c>
      <c r="E70" s="1013" t="s">
        <v>241</v>
      </c>
      <c r="F70" s="1014"/>
      <c r="G70" s="1014"/>
      <c r="H70" s="1015"/>
      <c r="I70" s="864" t="s">
        <v>241</v>
      </c>
      <c r="J70" s="865"/>
      <c r="K70" s="865"/>
      <c r="L70" s="865"/>
      <c r="M70" s="865"/>
      <c r="N70" s="865"/>
      <c r="O70" s="865"/>
      <c r="P70" s="866"/>
      <c r="Q70" s="864" t="s">
        <v>241</v>
      </c>
      <c r="R70" s="865"/>
      <c r="S70" s="865"/>
      <c r="T70" s="865"/>
      <c r="U70" s="865"/>
      <c r="V70" s="865"/>
      <c r="W70" s="865"/>
      <c r="X70" s="866"/>
      <c r="Y70" s="864" t="s">
        <v>241</v>
      </c>
      <c r="Z70" s="865"/>
      <c r="AA70" s="865"/>
      <c r="AB70" s="866"/>
      <c r="AC70" s="864" t="s">
        <v>241</v>
      </c>
      <c r="AD70" s="865"/>
      <c r="AE70" s="865"/>
      <c r="AF70" s="865"/>
      <c r="AG70" s="865"/>
      <c r="AH70" s="864" t="s">
        <v>241</v>
      </c>
      <c r="AI70" s="865"/>
      <c r="AJ70" s="865"/>
      <c r="AK70" s="865"/>
      <c r="AL70" s="865"/>
      <c r="AM70" s="865"/>
      <c r="AN70" s="865"/>
      <c r="AO70" s="865"/>
      <c r="AP70" s="865"/>
      <c r="AQ70" s="865"/>
      <c r="AR70" s="866"/>
      <c r="AS70" s="864" t="s">
        <v>241</v>
      </c>
      <c r="AT70" s="865"/>
      <c r="AU70" s="865"/>
      <c r="AV70" s="865"/>
      <c r="AW70" s="865"/>
      <c r="AX70" s="865"/>
      <c r="AY70" s="865"/>
      <c r="AZ70" s="865"/>
      <c r="BA70" s="865"/>
      <c r="BB70" s="865"/>
      <c r="BC70" s="865"/>
      <c r="BD70" s="865"/>
      <c r="BE70" s="865"/>
      <c r="BF70" s="865"/>
      <c r="BG70" s="865"/>
      <c r="BH70" s="865"/>
      <c r="BI70" s="865"/>
      <c r="BJ70" s="866"/>
      <c r="BK70" s="864" t="s">
        <v>241</v>
      </c>
      <c r="BL70" s="865"/>
      <c r="BM70" s="866"/>
      <c r="BN70" s="864" t="s">
        <v>241</v>
      </c>
      <c r="BO70" s="865"/>
      <c r="BP70" s="865"/>
      <c r="BQ70" s="865"/>
      <c r="BR70" s="865"/>
      <c r="BS70" s="930" t="s">
        <v>241</v>
      </c>
      <c r="BT70" s="931"/>
      <c r="BU70" s="931"/>
      <c r="BV70" s="931"/>
      <c r="BW70" s="931"/>
      <c r="BX70" s="931"/>
      <c r="BY70" s="931"/>
      <c r="BZ70" s="931"/>
      <c r="CA70" s="931"/>
      <c r="CB70" s="931"/>
      <c r="CC70" s="931"/>
      <c r="CD70" s="931"/>
      <c r="CE70" s="931"/>
      <c r="CF70" s="931"/>
      <c r="CG70" s="931"/>
      <c r="CH70" s="931"/>
      <c r="CI70" s="932"/>
      <c r="CJ70" s="865" t="s">
        <v>241</v>
      </c>
      <c r="CK70" s="865"/>
      <c r="CL70" s="865"/>
      <c r="CM70" s="865"/>
      <c r="CN70" s="865"/>
      <c r="CO70" s="865"/>
      <c r="CP70" s="865"/>
      <c r="CQ70" s="865"/>
      <c r="CR70" s="865"/>
      <c r="CS70" s="865"/>
      <c r="CT70" s="866"/>
      <c r="CU70" s="912" t="s">
        <v>241</v>
      </c>
      <c r="CV70" s="913"/>
      <c r="CW70" s="913"/>
      <c r="CX70" s="913"/>
      <c r="CY70" s="914"/>
      <c r="CZ70" s="912" t="s">
        <v>241</v>
      </c>
      <c r="DA70" s="913"/>
      <c r="DB70" s="913"/>
      <c r="DC70" s="913"/>
      <c r="DD70" s="914"/>
      <c r="DE70" s="921" t="s">
        <v>241</v>
      </c>
      <c r="DF70" s="922"/>
      <c r="DG70" s="922"/>
      <c r="DH70" s="922"/>
      <c r="DI70" s="922"/>
      <c r="DJ70" s="922"/>
      <c r="DK70" s="923"/>
      <c r="DL70" s="909" t="s">
        <v>241</v>
      </c>
      <c r="DM70" s="904"/>
      <c r="DN70" s="903" t="s">
        <v>241</v>
      </c>
      <c r="DO70" s="904"/>
      <c r="DP70" s="767" t="s">
        <v>241</v>
      </c>
      <c r="DQ70" s="921" t="s">
        <v>241</v>
      </c>
      <c r="DR70" s="922"/>
      <c r="DS70" s="922"/>
      <c r="DT70" s="921" t="s">
        <v>241</v>
      </c>
      <c r="DU70" s="922"/>
      <c r="DV70" s="922"/>
      <c r="DW70" s="922"/>
      <c r="DX70" s="922"/>
      <c r="DY70" s="921" t="s">
        <v>241</v>
      </c>
      <c r="DZ70" s="922"/>
      <c r="EA70" s="922"/>
      <c r="EB70" s="921" t="s">
        <v>241</v>
      </c>
      <c r="EC70" s="922"/>
      <c r="ED70" s="922"/>
      <c r="EE70" s="922"/>
      <c r="EF70" s="922"/>
      <c r="EG70" s="922"/>
      <c r="EH70" s="923"/>
    </row>
    <row r="71" spans="1:138" s="47" customFormat="1" ht="40.049999999999997" customHeight="1" thickBot="1" x14ac:dyDescent="0.35">
      <c r="A71" s="1025">
        <f>COUNTA(DE71:DK71)</f>
        <v>7</v>
      </c>
      <c r="B71" s="1025"/>
      <c r="C71" s="1026"/>
      <c r="D71" s="262" t="s">
        <v>0</v>
      </c>
      <c r="E71" s="110" t="s">
        <v>31</v>
      </c>
      <c r="F71" s="573" t="s">
        <v>512</v>
      </c>
      <c r="G71" s="111" t="s">
        <v>57</v>
      </c>
      <c r="H71" s="620" t="s">
        <v>58</v>
      </c>
      <c r="I71" s="164" t="s">
        <v>247</v>
      </c>
      <c r="J71" s="165" t="s">
        <v>249</v>
      </c>
      <c r="K71" s="165" t="s">
        <v>723</v>
      </c>
      <c r="L71" s="165" t="s">
        <v>250</v>
      </c>
      <c r="M71" s="165" t="s">
        <v>251</v>
      </c>
      <c r="N71" s="165" t="s">
        <v>252</v>
      </c>
      <c r="O71" s="165" t="s">
        <v>253</v>
      </c>
      <c r="P71" s="166" t="s">
        <v>255</v>
      </c>
      <c r="Q71" s="164" t="s">
        <v>585</v>
      </c>
      <c r="R71" s="165" t="s">
        <v>587</v>
      </c>
      <c r="S71" s="165" t="s">
        <v>724</v>
      </c>
      <c r="T71" s="165" t="s">
        <v>588</v>
      </c>
      <c r="U71" s="165" t="s">
        <v>589</v>
      </c>
      <c r="V71" s="165" t="s">
        <v>590</v>
      </c>
      <c r="W71" s="165" t="s">
        <v>591</v>
      </c>
      <c r="X71" s="166" t="s">
        <v>593</v>
      </c>
      <c r="Y71" s="468" t="s">
        <v>595</v>
      </c>
      <c r="Z71" s="468" t="s">
        <v>596</v>
      </c>
      <c r="AA71" s="468" t="s">
        <v>597</v>
      </c>
      <c r="AB71" s="619" t="s">
        <v>598</v>
      </c>
      <c r="AC71" s="467" t="s">
        <v>256</v>
      </c>
      <c r="AD71" s="468" t="s">
        <v>257</v>
      </c>
      <c r="AE71" s="468" t="s">
        <v>258</v>
      </c>
      <c r="AF71" s="468" t="s">
        <v>259</v>
      </c>
      <c r="AG71" s="373" t="s">
        <v>260</v>
      </c>
      <c r="AH71" s="636" t="s">
        <v>599</v>
      </c>
      <c r="AI71" s="324" t="s">
        <v>600</v>
      </c>
      <c r="AJ71" s="324" t="s">
        <v>601</v>
      </c>
      <c r="AK71" s="324" t="s">
        <v>602</v>
      </c>
      <c r="AL71" s="324" t="s">
        <v>603</v>
      </c>
      <c r="AM71" s="324" t="s">
        <v>604</v>
      </c>
      <c r="AN71" s="324" t="s">
        <v>606</v>
      </c>
      <c r="AO71" s="324" t="s">
        <v>607</v>
      </c>
      <c r="AP71" s="324" t="s">
        <v>608</v>
      </c>
      <c r="AQ71" s="324" t="s">
        <v>609</v>
      </c>
      <c r="AR71" s="166" t="s">
        <v>722</v>
      </c>
      <c r="AS71" s="324" t="s">
        <v>610</v>
      </c>
      <c r="AT71" s="324" t="s">
        <v>611</v>
      </c>
      <c r="AU71" s="324" t="s">
        <v>612</v>
      </c>
      <c r="AV71" s="324" t="s">
        <v>613</v>
      </c>
      <c r="AW71" s="324" t="s">
        <v>614</v>
      </c>
      <c r="AX71" s="324" t="s">
        <v>615</v>
      </c>
      <c r="AY71" s="324" t="s">
        <v>616</v>
      </c>
      <c r="AZ71" s="324" t="s">
        <v>617</v>
      </c>
      <c r="BA71" s="324" t="s">
        <v>618</v>
      </c>
      <c r="BB71" s="324" t="s">
        <v>668</v>
      </c>
      <c r="BC71" s="324" t="s">
        <v>669</v>
      </c>
      <c r="BD71" s="324" t="s">
        <v>670</v>
      </c>
      <c r="BE71" s="324" t="s">
        <v>671</v>
      </c>
      <c r="BF71" s="324" t="s">
        <v>621</v>
      </c>
      <c r="BG71" s="324" t="s">
        <v>672</v>
      </c>
      <c r="BH71" s="324" t="s">
        <v>622</v>
      </c>
      <c r="BI71" s="324" t="s">
        <v>673</v>
      </c>
      <c r="BJ71" s="166" t="s">
        <v>623</v>
      </c>
      <c r="BK71" s="468" t="s">
        <v>274</v>
      </c>
      <c r="BL71" s="468" t="s">
        <v>275</v>
      </c>
      <c r="BM71" s="619" t="s">
        <v>276</v>
      </c>
      <c r="BN71" s="467" t="s">
        <v>261</v>
      </c>
      <c r="BO71" s="468" t="s">
        <v>262</v>
      </c>
      <c r="BP71" s="468" t="s">
        <v>263</v>
      </c>
      <c r="BQ71" s="468" t="s">
        <v>264</v>
      </c>
      <c r="BR71" s="373" t="s">
        <v>265</v>
      </c>
      <c r="BS71" s="746" t="s">
        <v>725</v>
      </c>
      <c r="BT71" s="747" t="s">
        <v>726</v>
      </c>
      <c r="BU71" s="747" t="s">
        <v>727</v>
      </c>
      <c r="BV71" s="747" t="s">
        <v>728</v>
      </c>
      <c r="BW71" s="747" t="s">
        <v>729</v>
      </c>
      <c r="BX71" s="747" t="s">
        <v>730</v>
      </c>
      <c r="BY71" s="747" t="s">
        <v>736</v>
      </c>
      <c r="BZ71" s="747" t="s">
        <v>737</v>
      </c>
      <c r="CA71" s="747" t="s">
        <v>738</v>
      </c>
      <c r="CB71" s="747" t="s">
        <v>739</v>
      </c>
      <c r="CC71" s="747" t="s">
        <v>740</v>
      </c>
      <c r="CD71" s="747" t="s">
        <v>747</v>
      </c>
      <c r="CE71" s="747" t="s">
        <v>748</v>
      </c>
      <c r="CF71" s="747" t="s">
        <v>749</v>
      </c>
      <c r="CG71" s="747" t="s">
        <v>750</v>
      </c>
      <c r="CH71" s="747" t="s">
        <v>751</v>
      </c>
      <c r="CI71" s="748" t="s">
        <v>752</v>
      </c>
      <c r="CJ71" s="403" t="s">
        <v>731</v>
      </c>
      <c r="CK71" s="747" t="s">
        <v>732</v>
      </c>
      <c r="CL71" s="747" t="s">
        <v>733</v>
      </c>
      <c r="CM71" s="747" t="s">
        <v>734</v>
      </c>
      <c r="CN71" s="747" t="s">
        <v>735</v>
      </c>
      <c r="CO71" s="747" t="s">
        <v>741</v>
      </c>
      <c r="CP71" s="747" t="s">
        <v>742</v>
      </c>
      <c r="CQ71" s="747" t="s">
        <v>743</v>
      </c>
      <c r="CR71" s="747" t="s">
        <v>744</v>
      </c>
      <c r="CS71" s="747" t="s">
        <v>745</v>
      </c>
      <c r="CT71" s="748" t="s">
        <v>746</v>
      </c>
      <c r="CU71" s="782" t="s">
        <v>858</v>
      </c>
      <c r="CV71" s="782" t="s">
        <v>860</v>
      </c>
      <c r="CW71" s="782" t="s">
        <v>862</v>
      </c>
      <c r="CX71" s="782" t="s">
        <v>864</v>
      </c>
      <c r="CY71" s="782" t="s">
        <v>866</v>
      </c>
      <c r="CZ71" s="782" t="s">
        <v>859</v>
      </c>
      <c r="DA71" s="782" t="s">
        <v>861</v>
      </c>
      <c r="DB71" s="782" t="s">
        <v>863</v>
      </c>
      <c r="DC71" s="782" t="s">
        <v>865</v>
      </c>
      <c r="DD71" s="782" t="s">
        <v>867</v>
      </c>
      <c r="DE71" s="735" t="s">
        <v>242</v>
      </c>
      <c r="DF71" s="736" t="s">
        <v>243</v>
      </c>
      <c r="DG71" s="736" t="s">
        <v>244</v>
      </c>
      <c r="DH71" s="736" t="s">
        <v>245</v>
      </c>
      <c r="DI71" s="736" t="s">
        <v>246</v>
      </c>
      <c r="DJ71" s="736" t="s">
        <v>583</v>
      </c>
      <c r="DK71" s="737" t="s">
        <v>584</v>
      </c>
      <c r="DL71" s="779" t="s">
        <v>248</v>
      </c>
      <c r="DM71" s="737" t="s">
        <v>254</v>
      </c>
      <c r="DN71" s="736" t="s">
        <v>586</v>
      </c>
      <c r="DO71" s="737" t="s">
        <v>592</v>
      </c>
      <c r="DP71" s="736" t="s">
        <v>594</v>
      </c>
      <c r="DQ71" s="735" t="s">
        <v>605</v>
      </c>
      <c r="DR71" s="736" t="s">
        <v>619</v>
      </c>
      <c r="DS71" s="736" t="s">
        <v>620</v>
      </c>
      <c r="DT71" s="735" t="s">
        <v>266</v>
      </c>
      <c r="DU71" s="736" t="s">
        <v>267</v>
      </c>
      <c r="DV71" s="736" t="s">
        <v>268</v>
      </c>
      <c r="DW71" s="736" t="s">
        <v>269</v>
      </c>
      <c r="DX71" s="736" t="s">
        <v>270</v>
      </c>
      <c r="DY71" s="735" t="s">
        <v>271</v>
      </c>
      <c r="DZ71" s="736" t="s">
        <v>272</v>
      </c>
      <c r="EA71" s="736" t="s">
        <v>273</v>
      </c>
      <c r="EB71" s="735" t="s">
        <v>218</v>
      </c>
      <c r="EC71" s="736" t="s">
        <v>277</v>
      </c>
      <c r="ED71" s="736" t="s">
        <v>219</v>
      </c>
      <c r="EE71" s="736" t="s">
        <v>220</v>
      </c>
      <c r="EF71" s="736" t="s">
        <v>221</v>
      </c>
      <c r="EG71" s="736" t="s">
        <v>222</v>
      </c>
      <c r="EH71" s="737" t="s">
        <v>223</v>
      </c>
    </row>
    <row r="72" spans="1:138" s="47" customFormat="1" ht="15" customHeight="1" thickBot="1" x14ac:dyDescent="0.35">
      <c r="A72" s="1027"/>
      <c r="B72" s="1027"/>
      <c r="C72" s="1028"/>
      <c r="D72" s="36" t="s">
        <v>33</v>
      </c>
      <c r="E72" s="971" t="s">
        <v>513</v>
      </c>
      <c r="F72" s="972"/>
      <c r="G72" s="972"/>
      <c r="H72" s="973"/>
      <c r="I72" s="858" t="s">
        <v>29</v>
      </c>
      <c r="J72" s="859"/>
      <c r="K72" s="859"/>
      <c r="L72" s="859"/>
      <c r="M72" s="859"/>
      <c r="N72" s="859"/>
      <c r="O72" s="859"/>
      <c r="P72" s="860"/>
      <c r="Q72" s="858" t="s">
        <v>179</v>
      </c>
      <c r="R72" s="859"/>
      <c r="S72" s="859"/>
      <c r="T72" s="859"/>
      <c r="U72" s="859"/>
      <c r="V72" s="859"/>
      <c r="W72" s="859"/>
      <c r="X72" s="860"/>
      <c r="Y72" s="858" t="s">
        <v>29</v>
      </c>
      <c r="Z72" s="859"/>
      <c r="AA72" s="859"/>
      <c r="AB72" s="860"/>
      <c r="AC72" s="858" t="s">
        <v>29</v>
      </c>
      <c r="AD72" s="859"/>
      <c r="AE72" s="859"/>
      <c r="AF72" s="859"/>
      <c r="AG72" s="859"/>
      <c r="AH72" s="858" t="s">
        <v>29</v>
      </c>
      <c r="AI72" s="859"/>
      <c r="AJ72" s="859"/>
      <c r="AK72" s="859"/>
      <c r="AL72" s="859"/>
      <c r="AM72" s="859"/>
      <c r="AN72" s="859"/>
      <c r="AO72" s="859"/>
      <c r="AP72" s="859"/>
      <c r="AQ72" s="859"/>
      <c r="AR72" s="860"/>
      <c r="AS72" s="858" t="s">
        <v>29</v>
      </c>
      <c r="AT72" s="859"/>
      <c r="AU72" s="859"/>
      <c r="AV72" s="859"/>
      <c r="AW72" s="859"/>
      <c r="AX72" s="859"/>
      <c r="AY72" s="859"/>
      <c r="AZ72" s="859"/>
      <c r="BA72" s="859"/>
      <c r="BB72" s="859"/>
      <c r="BC72" s="859"/>
      <c r="BD72" s="859"/>
      <c r="BE72" s="859"/>
      <c r="BF72" s="859"/>
      <c r="BG72" s="859"/>
      <c r="BH72" s="859"/>
      <c r="BI72" s="859"/>
      <c r="BJ72" s="860"/>
      <c r="BK72" s="859" t="s">
        <v>29</v>
      </c>
      <c r="BL72" s="859"/>
      <c r="BM72" s="860"/>
      <c r="BN72" s="858" t="s">
        <v>179</v>
      </c>
      <c r="BO72" s="859"/>
      <c r="BP72" s="859"/>
      <c r="BQ72" s="859"/>
      <c r="BR72" s="859"/>
      <c r="BS72" s="924" t="s">
        <v>29</v>
      </c>
      <c r="BT72" s="925"/>
      <c r="BU72" s="925"/>
      <c r="BV72" s="925"/>
      <c r="BW72" s="925"/>
      <c r="BX72" s="925"/>
      <c r="BY72" s="925"/>
      <c r="BZ72" s="925"/>
      <c r="CA72" s="925"/>
      <c r="CB72" s="925"/>
      <c r="CC72" s="925"/>
      <c r="CD72" s="925"/>
      <c r="CE72" s="925"/>
      <c r="CF72" s="925"/>
      <c r="CG72" s="925"/>
      <c r="CH72" s="925"/>
      <c r="CI72" s="926"/>
      <c r="CJ72" s="859" t="s">
        <v>29</v>
      </c>
      <c r="CK72" s="859"/>
      <c r="CL72" s="859"/>
      <c r="CM72" s="859"/>
      <c r="CN72" s="859"/>
      <c r="CO72" s="859"/>
      <c r="CP72" s="859"/>
      <c r="CQ72" s="859"/>
      <c r="CR72" s="859"/>
      <c r="CS72" s="859"/>
      <c r="CT72" s="860"/>
      <c r="CU72" s="885" t="s">
        <v>29</v>
      </c>
      <c r="CV72" s="886"/>
      <c r="CW72" s="886"/>
      <c r="CX72" s="886"/>
      <c r="CY72" s="887"/>
      <c r="CZ72" s="885" t="s">
        <v>179</v>
      </c>
      <c r="DA72" s="886"/>
      <c r="DB72" s="886"/>
      <c r="DC72" s="886"/>
      <c r="DD72" s="887"/>
      <c r="DE72" s="915" t="s">
        <v>29</v>
      </c>
      <c r="DF72" s="916"/>
      <c r="DG72" s="916"/>
      <c r="DH72" s="916"/>
      <c r="DI72" s="916"/>
      <c r="DJ72" s="916"/>
      <c r="DK72" s="917"/>
      <c r="DL72" s="910" t="s">
        <v>29</v>
      </c>
      <c r="DM72" s="906"/>
      <c r="DN72" s="905" t="s">
        <v>179</v>
      </c>
      <c r="DO72" s="906"/>
      <c r="DP72" s="905" t="s">
        <v>29</v>
      </c>
      <c r="DQ72" s="915" t="s">
        <v>29</v>
      </c>
      <c r="DR72" s="916"/>
      <c r="DS72" s="916"/>
      <c r="DT72" s="915" t="s">
        <v>29</v>
      </c>
      <c r="DU72" s="916"/>
      <c r="DV72" s="916"/>
      <c r="DW72" s="916"/>
      <c r="DX72" s="916"/>
      <c r="DY72" s="915" t="s">
        <v>29</v>
      </c>
      <c r="DZ72" s="916"/>
      <c r="EA72" s="916"/>
      <c r="EB72" s="915" t="s">
        <v>29</v>
      </c>
      <c r="EC72" s="916"/>
      <c r="ED72" s="916"/>
      <c r="EE72" s="916"/>
      <c r="EF72" s="916"/>
      <c r="EG72" s="916"/>
      <c r="EH72" s="917"/>
    </row>
    <row r="73" spans="1:138" s="47" customFormat="1" ht="15" customHeight="1" thickBot="1" x14ac:dyDescent="0.35">
      <c r="A73" s="57" t="s">
        <v>54</v>
      </c>
      <c r="B73" s="74" t="s">
        <v>55</v>
      </c>
      <c r="C73" s="62" t="s">
        <v>1</v>
      </c>
      <c r="D73" s="56" t="s">
        <v>32</v>
      </c>
      <c r="E73" s="971"/>
      <c r="F73" s="972"/>
      <c r="G73" s="972"/>
      <c r="H73" s="973"/>
      <c r="I73" s="861"/>
      <c r="J73" s="862"/>
      <c r="K73" s="862"/>
      <c r="L73" s="862"/>
      <c r="M73" s="862"/>
      <c r="N73" s="862"/>
      <c r="O73" s="862"/>
      <c r="P73" s="863"/>
      <c r="Q73" s="861"/>
      <c r="R73" s="862"/>
      <c r="S73" s="862"/>
      <c r="T73" s="862"/>
      <c r="U73" s="862"/>
      <c r="V73" s="862"/>
      <c r="W73" s="862"/>
      <c r="X73" s="863"/>
      <c r="Y73" s="861"/>
      <c r="Z73" s="862"/>
      <c r="AA73" s="862"/>
      <c r="AB73" s="863"/>
      <c r="AC73" s="861"/>
      <c r="AD73" s="862"/>
      <c r="AE73" s="862"/>
      <c r="AF73" s="862"/>
      <c r="AG73" s="862"/>
      <c r="AH73" s="861"/>
      <c r="AI73" s="862"/>
      <c r="AJ73" s="862"/>
      <c r="AK73" s="862"/>
      <c r="AL73" s="862"/>
      <c r="AM73" s="862"/>
      <c r="AN73" s="862"/>
      <c r="AO73" s="862"/>
      <c r="AP73" s="862"/>
      <c r="AQ73" s="862"/>
      <c r="AR73" s="863"/>
      <c r="AS73" s="861"/>
      <c r="AT73" s="862"/>
      <c r="AU73" s="862"/>
      <c r="AV73" s="862"/>
      <c r="AW73" s="862"/>
      <c r="AX73" s="862"/>
      <c r="AY73" s="862"/>
      <c r="AZ73" s="862"/>
      <c r="BA73" s="862"/>
      <c r="BB73" s="862"/>
      <c r="BC73" s="862"/>
      <c r="BD73" s="862"/>
      <c r="BE73" s="862"/>
      <c r="BF73" s="862"/>
      <c r="BG73" s="862"/>
      <c r="BH73" s="862"/>
      <c r="BI73" s="862"/>
      <c r="BJ73" s="863"/>
      <c r="BK73" s="862"/>
      <c r="BL73" s="862"/>
      <c r="BM73" s="863"/>
      <c r="BN73" s="861"/>
      <c r="BO73" s="862"/>
      <c r="BP73" s="862"/>
      <c r="BQ73" s="862"/>
      <c r="BR73" s="862"/>
      <c r="BS73" s="927"/>
      <c r="BT73" s="928"/>
      <c r="BU73" s="928"/>
      <c r="BV73" s="928"/>
      <c r="BW73" s="928"/>
      <c r="BX73" s="928"/>
      <c r="BY73" s="928"/>
      <c r="BZ73" s="928"/>
      <c r="CA73" s="928"/>
      <c r="CB73" s="928"/>
      <c r="CC73" s="928"/>
      <c r="CD73" s="928"/>
      <c r="CE73" s="928"/>
      <c r="CF73" s="928"/>
      <c r="CG73" s="928"/>
      <c r="CH73" s="928"/>
      <c r="CI73" s="929"/>
      <c r="CJ73" s="862"/>
      <c r="CK73" s="862"/>
      <c r="CL73" s="862"/>
      <c r="CM73" s="862"/>
      <c r="CN73" s="862"/>
      <c r="CO73" s="862"/>
      <c r="CP73" s="862"/>
      <c r="CQ73" s="862"/>
      <c r="CR73" s="862"/>
      <c r="CS73" s="862"/>
      <c r="CT73" s="863"/>
      <c r="CU73" s="888"/>
      <c r="CV73" s="889"/>
      <c r="CW73" s="889"/>
      <c r="CX73" s="889"/>
      <c r="CY73" s="890"/>
      <c r="CZ73" s="888"/>
      <c r="DA73" s="889"/>
      <c r="DB73" s="889"/>
      <c r="DC73" s="889"/>
      <c r="DD73" s="890"/>
      <c r="DE73" s="918"/>
      <c r="DF73" s="919"/>
      <c r="DG73" s="919"/>
      <c r="DH73" s="919"/>
      <c r="DI73" s="919"/>
      <c r="DJ73" s="919"/>
      <c r="DK73" s="920"/>
      <c r="DL73" s="911"/>
      <c r="DM73" s="908"/>
      <c r="DN73" s="907"/>
      <c r="DO73" s="908"/>
      <c r="DP73" s="907"/>
      <c r="DQ73" s="918"/>
      <c r="DR73" s="919"/>
      <c r="DS73" s="919"/>
      <c r="DT73" s="918"/>
      <c r="DU73" s="919"/>
      <c r="DV73" s="919"/>
      <c r="DW73" s="919"/>
      <c r="DX73" s="919"/>
      <c r="DY73" s="918"/>
      <c r="DZ73" s="919"/>
      <c r="EA73" s="919"/>
      <c r="EB73" s="918"/>
      <c r="EC73" s="919"/>
      <c r="ED73" s="919"/>
      <c r="EE73" s="919"/>
      <c r="EF73" s="919"/>
      <c r="EG73" s="919"/>
      <c r="EH73" s="920"/>
    </row>
    <row r="74" spans="1:138" s="47" customFormat="1" ht="15" customHeight="1" x14ac:dyDescent="0.3">
      <c r="A74" s="45" t="s">
        <v>5</v>
      </c>
      <c r="B74" s="60" t="s">
        <v>21</v>
      </c>
      <c r="C74" s="8" t="s">
        <v>69</v>
      </c>
      <c r="D74" s="522" t="s">
        <v>52</v>
      </c>
      <c r="E74" s="99">
        <f t="shared" ref="E74:E83" si="11">AVERAGE(DE74:DK74)</f>
        <v>13.585714285714285</v>
      </c>
      <c r="F74" s="100">
        <f t="shared" ref="F74:F83" si="12">AVEDEV(I74:DP74)</f>
        <v>71.46339285714285</v>
      </c>
      <c r="G74" s="100">
        <f t="shared" ref="G74:G83" si="13">MIN(DE74:DK74)</f>
        <v>6.6</v>
      </c>
      <c r="H74" s="626">
        <f t="shared" ref="H74:H83" si="14">MAX(DE74:DK74)</f>
        <v>25</v>
      </c>
      <c r="I74" s="634">
        <v>6.6</v>
      </c>
      <c r="J74" s="750">
        <v>9</v>
      </c>
      <c r="K74" s="635">
        <v>10.5</v>
      </c>
      <c r="L74" s="750">
        <v>12</v>
      </c>
      <c r="M74" s="750">
        <v>15</v>
      </c>
      <c r="N74" s="635">
        <v>21.7</v>
      </c>
      <c r="O74" s="750">
        <v>25</v>
      </c>
      <c r="P74" s="751">
        <v>32</v>
      </c>
      <c r="Q74" s="634">
        <v>6.6</v>
      </c>
      <c r="R74" s="750">
        <v>9</v>
      </c>
      <c r="S74" s="635">
        <v>10.5</v>
      </c>
      <c r="T74" s="750">
        <v>12</v>
      </c>
      <c r="U74" s="750">
        <v>15</v>
      </c>
      <c r="V74" s="635">
        <v>21.7</v>
      </c>
      <c r="W74" s="750">
        <v>25</v>
      </c>
      <c r="X74" s="751">
        <v>32</v>
      </c>
      <c r="Y74" s="752">
        <v>17</v>
      </c>
      <c r="Z74" s="425">
        <v>21.7</v>
      </c>
      <c r="AA74" s="752">
        <v>25</v>
      </c>
      <c r="AB74" s="753">
        <v>32</v>
      </c>
      <c r="AC74" s="424">
        <v>6.6</v>
      </c>
      <c r="AD74" s="425">
        <v>7.5</v>
      </c>
      <c r="AE74" s="425">
        <v>9</v>
      </c>
      <c r="AF74" s="425">
        <v>12</v>
      </c>
      <c r="AG74" s="428">
        <v>15</v>
      </c>
      <c r="AH74" s="631">
        <v>20</v>
      </c>
      <c r="AI74" s="632">
        <v>30</v>
      </c>
      <c r="AJ74" s="632">
        <v>35</v>
      </c>
      <c r="AK74" s="632">
        <v>40</v>
      </c>
      <c r="AL74" s="632">
        <v>49</v>
      </c>
      <c r="AM74" s="632">
        <v>60</v>
      </c>
      <c r="AN74" s="632">
        <v>70</v>
      </c>
      <c r="AO74" s="632">
        <v>90</v>
      </c>
      <c r="AP74" s="632">
        <v>99</v>
      </c>
      <c r="AQ74" s="632">
        <v>108</v>
      </c>
      <c r="AR74" s="633">
        <v>120</v>
      </c>
      <c r="AS74" s="632">
        <v>130</v>
      </c>
      <c r="AT74" s="632">
        <v>130</v>
      </c>
      <c r="AU74" s="632">
        <v>149</v>
      </c>
      <c r="AV74" s="632">
        <v>149</v>
      </c>
      <c r="AW74" s="632">
        <v>166</v>
      </c>
      <c r="AX74" s="632">
        <v>166</v>
      </c>
      <c r="AY74" s="632">
        <v>199</v>
      </c>
      <c r="AZ74" s="632">
        <v>199</v>
      </c>
      <c r="BA74" s="632">
        <v>216</v>
      </c>
      <c r="BB74" s="632">
        <v>216</v>
      </c>
      <c r="BC74" s="632">
        <v>226</v>
      </c>
      <c r="BD74" s="632">
        <v>226</v>
      </c>
      <c r="BE74" s="632">
        <v>249</v>
      </c>
      <c r="BF74" s="632">
        <v>249</v>
      </c>
      <c r="BG74" s="632">
        <v>299</v>
      </c>
      <c r="BH74" s="632">
        <v>299</v>
      </c>
      <c r="BI74" s="632">
        <v>330</v>
      </c>
      <c r="BJ74" s="633">
        <v>330</v>
      </c>
      <c r="BK74" s="425">
        <v>42</v>
      </c>
      <c r="BL74" s="425">
        <v>49</v>
      </c>
      <c r="BM74" s="426">
        <v>60</v>
      </c>
      <c r="BN74" s="424">
        <v>6.6</v>
      </c>
      <c r="BO74" s="425">
        <v>7.5</v>
      </c>
      <c r="BP74" s="425">
        <v>9</v>
      </c>
      <c r="BQ74" s="425">
        <v>12</v>
      </c>
      <c r="BR74" s="428">
        <v>15</v>
      </c>
      <c r="BS74" s="631">
        <v>20</v>
      </c>
      <c r="BT74" s="632">
        <v>30</v>
      </c>
      <c r="BU74" s="632">
        <v>35</v>
      </c>
      <c r="BV74" s="632">
        <v>40</v>
      </c>
      <c r="BW74" s="632">
        <v>49</v>
      </c>
      <c r="BX74" s="632">
        <v>60</v>
      </c>
      <c r="BY74" s="632">
        <v>70</v>
      </c>
      <c r="BZ74" s="632">
        <v>90</v>
      </c>
      <c r="CA74" s="632">
        <v>99</v>
      </c>
      <c r="CB74" s="632">
        <v>108</v>
      </c>
      <c r="CC74" s="632">
        <v>120</v>
      </c>
      <c r="CD74" s="632">
        <v>130</v>
      </c>
      <c r="CE74" s="632">
        <v>149</v>
      </c>
      <c r="CF74" s="632">
        <v>166</v>
      </c>
      <c r="CG74" s="632">
        <v>199</v>
      </c>
      <c r="CH74" s="632">
        <v>216</v>
      </c>
      <c r="CI74" s="633">
        <v>226</v>
      </c>
      <c r="CJ74" s="749">
        <v>70</v>
      </c>
      <c r="CK74" s="632">
        <v>90</v>
      </c>
      <c r="CL74" s="632">
        <v>99</v>
      </c>
      <c r="CM74" s="632">
        <v>108</v>
      </c>
      <c r="CN74" s="632">
        <v>120</v>
      </c>
      <c r="CO74" s="632">
        <v>130</v>
      </c>
      <c r="CP74" s="632">
        <v>149</v>
      </c>
      <c r="CQ74" s="632">
        <v>166</v>
      </c>
      <c r="CR74" s="632">
        <v>199</v>
      </c>
      <c r="CS74" s="632">
        <v>216</v>
      </c>
      <c r="CT74" s="633">
        <v>226</v>
      </c>
      <c r="CU74" s="783">
        <v>6.6</v>
      </c>
      <c r="CV74" s="783">
        <v>9</v>
      </c>
      <c r="CW74" s="783">
        <v>10.5</v>
      </c>
      <c r="CX74" s="783">
        <v>12</v>
      </c>
      <c r="CY74" s="783">
        <v>15</v>
      </c>
      <c r="CZ74" s="783">
        <v>6.6</v>
      </c>
      <c r="DA74" s="783">
        <v>9</v>
      </c>
      <c r="DB74" s="783">
        <v>10.5</v>
      </c>
      <c r="DC74" s="783">
        <v>12</v>
      </c>
      <c r="DD74" s="783">
        <v>15</v>
      </c>
      <c r="DE74" s="768">
        <v>6.6</v>
      </c>
      <c r="DF74" s="741">
        <v>7.5</v>
      </c>
      <c r="DG74" s="741">
        <v>9</v>
      </c>
      <c r="DH74" s="741">
        <v>12</v>
      </c>
      <c r="DI74" s="741">
        <v>15</v>
      </c>
      <c r="DJ74" s="741">
        <v>20</v>
      </c>
      <c r="DK74" s="742">
        <v>25</v>
      </c>
      <c r="DL74" s="743">
        <v>7.5</v>
      </c>
      <c r="DM74" s="742">
        <v>30</v>
      </c>
      <c r="DN74" s="741">
        <v>7.5</v>
      </c>
      <c r="DO74" s="742">
        <v>30</v>
      </c>
      <c r="DP74" s="741">
        <v>15</v>
      </c>
      <c r="DQ74" s="768">
        <v>65</v>
      </c>
      <c r="DR74" s="741">
        <v>225</v>
      </c>
      <c r="DS74" s="741">
        <v>225</v>
      </c>
      <c r="DT74" s="768">
        <v>9.5</v>
      </c>
      <c r="DU74" s="741">
        <v>12</v>
      </c>
      <c r="DV74" s="741">
        <v>14.9</v>
      </c>
      <c r="DW74" s="741">
        <v>16.8</v>
      </c>
      <c r="DX74" s="741">
        <v>22</v>
      </c>
      <c r="DY74" s="768">
        <v>25</v>
      </c>
      <c r="DZ74" s="741">
        <v>31</v>
      </c>
      <c r="EA74" s="741">
        <v>35</v>
      </c>
      <c r="EB74" s="768">
        <v>20.2</v>
      </c>
      <c r="EC74" s="741">
        <v>30</v>
      </c>
      <c r="ED74" s="741">
        <v>35</v>
      </c>
      <c r="EE74" s="741">
        <v>40.6</v>
      </c>
      <c r="EF74" s="741">
        <v>49</v>
      </c>
      <c r="EG74" s="741">
        <v>62.6</v>
      </c>
      <c r="EH74" s="742">
        <v>120.6</v>
      </c>
    </row>
    <row r="75" spans="1:138" s="47" customFormat="1" ht="15" customHeight="1" x14ac:dyDescent="0.3">
      <c r="A75" s="49" t="s">
        <v>6</v>
      </c>
      <c r="B75" s="44" t="s">
        <v>22</v>
      </c>
      <c r="C75" s="9" t="s">
        <v>70</v>
      </c>
      <c r="D75" s="523" t="s">
        <v>52</v>
      </c>
      <c r="E75" s="101">
        <f t="shared" si="11"/>
        <v>1.8270480951673374E-2</v>
      </c>
      <c r="F75" s="97">
        <f t="shared" si="12"/>
        <v>3.1850254432299057E-3</v>
      </c>
      <c r="G75" s="97">
        <f t="shared" si="13"/>
        <v>1.5759166826422602E-2</v>
      </c>
      <c r="H75" s="627">
        <f t="shared" si="14"/>
        <v>2.056896634625674E-2</v>
      </c>
      <c r="I75" s="429">
        <v>2.056896634625674E-2</v>
      </c>
      <c r="J75" s="430">
        <v>1.9331820449317628E-2</v>
      </c>
      <c r="K75" s="430">
        <v>1.8744911524588299E-2</v>
      </c>
      <c r="L75" s="430">
        <v>1.8250930256796173E-2</v>
      </c>
      <c r="M75" s="430">
        <v>1.745432277458064E-2</v>
      </c>
      <c r="N75" s="430">
        <v>1.6211727977677937E-2</v>
      </c>
      <c r="O75" s="430">
        <v>1.5759166826422602E-2</v>
      </c>
      <c r="P75" s="431">
        <v>1.4999999999999999E-2</v>
      </c>
      <c r="Q75" s="429">
        <v>2.056896634625674E-2</v>
      </c>
      <c r="R75" s="430">
        <v>1.9331820449317628E-2</v>
      </c>
      <c r="S75" s="430">
        <v>1.8744911524588299E-2</v>
      </c>
      <c r="T75" s="430">
        <v>1.8250930256796173E-2</v>
      </c>
      <c r="U75" s="430">
        <v>1.745432277458064E-2</v>
      </c>
      <c r="V75" s="430">
        <v>1.6211727977677937E-2</v>
      </c>
      <c r="W75" s="430">
        <v>1.5759166826422602E-2</v>
      </c>
      <c r="X75" s="431">
        <v>1.4999999999999999E-2</v>
      </c>
      <c r="Y75" s="430">
        <v>1.7022818570147404E-2</v>
      </c>
      <c r="Z75" s="430">
        <v>1.6211727977677937E-2</v>
      </c>
      <c r="AA75" s="430">
        <v>1.5759166826422602E-2</v>
      </c>
      <c r="AB75" s="431">
        <v>1.4999999999999999E-2</v>
      </c>
      <c r="AC75" s="429">
        <v>2.056896634625674E-2</v>
      </c>
      <c r="AD75" s="430">
        <v>2.0049751858748067E-2</v>
      </c>
      <c r="AE75" s="430">
        <v>1.9331820449317628E-2</v>
      </c>
      <c r="AF75" s="430">
        <v>1.8250930256796173E-2</v>
      </c>
      <c r="AG75" s="433">
        <v>1.745432277458064E-2</v>
      </c>
      <c r="AH75" s="429">
        <v>1.6478408149591769E-2</v>
      </c>
      <c r="AI75" s="430">
        <v>1.5194870523363546E-2</v>
      </c>
      <c r="AJ75" s="430">
        <v>1.4733558297562097E-2</v>
      </c>
      <c r="AK75" s="430">
        <v>1.4345287496850555E-2</v>
      </c>
      <c r="AL75" s="430">
        <v>1.3774696498783023E-2</v>
      </c>
      <c r="AM75" s="430">
        <v>1.3227903093325808E-2</v>
      </c>
      <c r="AN75" s="430">
        <v>1.2826307475298969E-2</v>
      </c>
      <c r="AO75" s="430">
        <v>1.2197554094669345E-2</v>
      </c>
      <c r="AP75" s="430">
        <v>1.1967245924901726E-2</v>
      </c>
      <c r="AQ75" s="430">
        <v>1.1760790225246736E-2</v>
      </c>
      <c r="AR75" s="431">
        <v>1.1515558489121322E-2</v>
      </c>
      <c r="AS75" s="430">
        <v>1.1332678915955163E-2</v>
      </c>
      <c r="AT75" s="430">
        <v>1.1332678915955163E-2</v>
      </c>
      <c r="AU75" s="430">
        <v>1.1027676082748551E-2</v>
      </c>
      <c r="AV75" s="430">
        <v>1.1027676082748551E-2</v>
      </c>
      <c r="AW75" s="430">
        <v>1.0791942857432832E-2</v>
      </c>
      <c r="AX75" s="430">
        <v>1.0791942857432832E-2</v>
      </c>
      <c r="AY75" s="430">
        <v>1.0407601126320767E-2</v>
      </c>
      <c r="AZ75" s="430">
        <v>1.0407601126320767E-2</v>
      </c>
      <c r="BA75" s="430">
        <v>1.0238362555396096E-2</v>
      </c>
      <c r="BB75" s="430">
        <v>1.0238362555396096E-2</v>
      </c>
      <c r="BC75" s="430">
        <v>1.0146110010257227E-2</v>
      </c>
      <c r="BD75" s="430">
        <v>1.0146110010257227E-2</v>
      </c>
      <c r="BE75" s="430">
        <v>9.951335889097539E-3</v>
      </c>
      <c r="BF75" s="430">
        <v>9.951335889097539E-3</v>
      </c>
      <c r="BG75" s="430">
        <v>9.5937195129965677E-3</v>
      </c>
      <c r="BH75" s="430">
        <v>9.5937195129965677E-3</v>
      </c>
      <c r="BI75" s="430">
        <v>9.4062922230663641E-3</v>
      </c>
      <c r="BJ75" s="431">
        <v>9.4062922230663641E-3</v>
      </c>
      <c r="BK75" s="430">
        <v>1.4205986467795084E-2</v>
      </c>
      <c r="BL75" s="430">
        <v>1.3774696498783023E-2</v>
      </c>
      <c r="BM75" s="431">
        <v>1.3227903093325808E-2</v>
      </c>
      <c r="BN75" s="429">
        <v>2.056896634625674E-2</v>
      </c>
      <c r="BO75" s="430">
        <v>2.0049751858748067E-2</v>
      </c>
      <c r="BP75" s="430">
        <v>1.9331820449317628E-2</v>
      </c>
      <c r="BQ75" s="430">
        <v>1.8250930256796173E-2</v>
      </c>
      <c r="BR75" s="433">
        <v>1.745432277458064E-2</v>
      </c>
      <c r="BS75" s="429">
        <v>1.6478408149591769E-2</v>
      </c>
      <c r="BT75" s="430">
        <v>1.5194870523363546E-2</v>
      </c>
      <c r="BU75" s="430">
        <v>1.4733558297562097E-2</v>
      </c>
      <c r="BV75" s="430">
        <v>1.4345287496850555E-2</v>
      </c>
      <c r="BW75" s="430">
        <v>1.3774696498783023E-2</v>
      </c>
      <c r="BX75" s="430">
        <v>1.3227903093325808E-2</v>
      </c>
      <c r="BY75" s="430">
        <v>1.2826307475298969E-2</v>
      </c>
      <c r="BZ75" s="430">
        <v>1.2826307475298969E-2</v>
      </c>
      <c r="CA75" s="430">
        <v>1.1967245924901726E-2</v>
      </c>
      <c r="CB75" s="430">
        <v>1.1760790225246736E-2</v>
      </c>
      <c r="CC75" s="430">
        <v>1.1515558489121322E-2</v>
      </c>
      <c r="CD75" s="430">
        <v>1.1332678915955163E-2</v>
      </c>
      <c r="CE75" s="430">
        <v>1.1027676082748551E-2</v>
      </c>
      <c r="CF75" s="430">
        <v>1.0791942857432832E-2</v>
      </c>
      <c r="CG75" s="430">
        <v>1.0407601126320767E-2</v>
      </c>
      <c r="CH75" s="430">
        <v>1.0238362555396096E-2</v>
      </c>
      <c r="CI75" s="431">
        <v>1.0146110010257227E-2</v>
      </c>
      <c r="CJ75" s="432">
        <v>1.2826307475298969E-2</v>
      </c>
      <c r="CK75" s="430">
        <v>1.2826307475298969E-2</v>
      </c>
      <c r="CL75" s="430">
        <v>1.1967245924901726E-2</v>
      </c>
      <c r="CM75" s="430">
        <v>1.1760790225246736E-2</v>
      </c>
      <c r="CN75" s="430">
        <v>1.1515558489121322E-2</v>
      </c>
      <c r="CO75" s="430">
        <v>1.1332678915955163E-2</v>
      </c>
      <c r="CP75" s="430">
        <v>1.1027676082748551E-2</v>
      </c>
      <c r="CQ75" s="430">
        <v>1.0791942857432832E-2</v>
      </c>
      <c r="CR75" s="430">
        <v>1.0407601126320767E-2</v>
      </c>
      <c r="CS75" s="430">
        <v>1.0238362555396096E-2</v>
      </c>
      <c r="CT75" s="431">
        <v>1.0146110010257227E-2</v>
      </c>
      <c r="CU75" s="784">
        <v>2.056896634625674E-2</v>
      </c>
      <c r="CV75" s="784">
        <v>1.9331820449317628E-2</v>
      </c>
      <c r="CW75" s="784">
        <v>1.8744911524588299E-2</v>
      </c>
      <c r="CX75" s="784">
        <v>1.8250930256796173E-2</v>
      </c>
      <c r="CY75" s="784">
        <v>1.745432277458064E-2</v>
      </c>
      <c r="CZ75" s="784">
        <v>2.056896634625674E-2</v>
      </c>
      <c r="DA75" s="784">
        <v>1.9331820449317628E-2</v>
      </c>
      <c r="DB75" s="784">
        <v>1.8744911524588299E-2</v>
      </c>
      <c r="DC75" s="784">
        <v>1.8250930256796173E-2</v>
      </c>
      <c r="DD75" s="784">
        <v>1.745432277458064E-2</v>
      </c>
      <c r="DE75" s="728">
        <v>2.056896634625674E-2</v>
      </c>
      <c r="DF75" s="713">
        <v>2.0049751858748067E-2</v>
      </c>
      <c r="DG75" s="713">
        <v>1.9331820449317628E-2</v>
      </c>
      <c r="DH75" s="713">
        <v>1.8250930256796173E-2</v>
      </c>
      <c r="DI75" s="713">
        <v>1.745432277458064E-2</v>
      </c>
      <c r="DJ75" s="713">
        <v>1.6478408149591769E-2</v>
      </c>
      <c r="DK75" s="714">
        <v>1.5759166826422602E-2</v>
      </c>
      <c r="DL75" s="712">
        <v>2.0049751858748067E-2</v>
      </c>
      <c r="DM75" s="714">
        <v>1.5194870523363546E-2</v>
      </c>
      <c r="DN75" s="713">
        <v>2.0049751858748067E-2</v>
      </c>
      <c r="DO75" s="714">
        <v>1.5194870523363546E-2</v>
      </c>
      <c r="DP75" s="713">
        <v>1.745432277458064E-2</v>
      </c>
      <c r="DQ75" s="728">
        <v>1.301782962846728E-2</v>
      </c>
      <c r="DR75" s="713">
        <v>1.0155112783974816E-2</v>
      </c>
      <c r="DS75" s="713">
        <v>1.0155112783974816E-2</v>
      </c>
      <c r="DT75" s="728">
        <v>1.9123903064074611E-2</v>
      </c>
      <c r="DU75" s="713">
        <v>1.8250930256796173E-2</v>
      </c>
      <c r="DV75" s="713">
        <v>1.7477688752214417E-2</v>
      </c>
      <c r="DW75" s="713">
        <v>1.7063157455278245E-2</v>
      </c>
      <c r="DX75" s="713">
        <v>1.6167271015690887E-2</v>
      </c>
      <c r="DY75" s="728">
        <v>1.5759166826422602E-2</v>
      </c>
      <c r="DZ75" s="713">
        <v>1.5095549129955416E-2</v>
      </c>
      <c r="EA75" s="713">
        <v>1.4733558297562097E-2</v>
      </c>
      <c r="EB75" s="728">
        <v>1.6445647635594651E-2</v>
      </c>
      <c r="EC75" s="713">
        <v>1.5194870523363546E-2</v>
      </c>
      <c r="ED75" s="713">
        <v>1.4733558297562097E-2</v>
      </c>
      <c r="EE75" s="713">
        <v>1.4302634747062703E-2</v>
      </c>
      <c r="EF75" s="713">
        <v>1.3774696498783023E-2</v>
      </c>
      <c r="EG75" s="713">
        <v>1.3116150402802189E-2</v>
      </c>
      <c r="EH75" s="714">
        <v>1.1504077351141093E-2</v>
      </c>
    </row>
    <row r="76" spans="1:138" s="47" customFormat="1" ht="15" customHeight="1" x14ac:dyDescent="0.3">
      <c r="A76" s="49" t="s">
        <v>64</v>
      </c>
      <c r="B76" s="59" t="s">
        <v>23</v>
      </c>
      <c r="C76" s="9" t="s">
        <v>70</v>
      </c>
      <c r="D76" s="523" t="s">
        <v>61</v>
      </c>
      <c r="E76" s="102">
        <f t="shared" si="11"/>
        <v>0.3</v>
      </c>
      <c r="F76" s="98">
        <f t="shared" si="12"/>
        <v>3.3306690738754696E-16</v>
      </c>
      <c r="G76" s="98">
        <f t="shared" si="13"/>
        <v>0.3</v>
      </c>
      <c r="H76" s="628">
        <f t="shared" si="14"/>
        <v>0.3</v>
      </c>
      <c r="I76" s="434">
        <v>0.3</v>
      </c>
      <c r="J76" s="435">
        <v>0.3</v>
      </c>
      <c r="K76" s="435">
        <v>0.3</v>
      </c>
      <c r="L76" s="435">
        <v>0.3</v>
      </c>
      <c r="M76" s="435">
        <v>0.3</v>
      </c>
      <c r="N76" s="435">
        <v>0.3</v>
      </c>
      <c r="O76" s="435">
        <v>0.3</v>
      </c>
      <c r="P76" s="436">
        <v>0.3</v>
      </c>
      <c r="Q76" s="434">
        <v>0.3</v>
      </c>
      <c r="R76" s="435">
        <v>0.3</v>
      </c>
      <c r="S76" s="435">
        <v>0.3</v>
      </c>
      <c r="T76" s="435">
        <v>0.3</v>
      </c>
      <c r="U76" s="435">
        <v>0.3</v>
      </c>
      <c r="V76" s="435">
        <v>0.3</v>
      </c>
      <c r="W76" s="435">
        <v>0.3</v>
      </c>
      <c r="X76" s="436">
        <v>0.3</v>
      </c>
      <c r="Y76" s="435">
        <v>0.3</v>
      </c>
      <c r="Z76" s="435">
        <v>0.3</v>
      </c>
      <c r="AA76" s="435">
        <v>0.3</v>
      </c>
      <c r="AB76" s="436">
        <v>0.3</v>
      </c>
      <c r="AC76" s="434">
        <v>0.3</v>
      </c>
      <c r="AD76" s="435">
        <v>0.3</v>
      </c>
      <c r="AE76" s="435">
        <v>0.3</v>
      </c>
      <c r="AF76" s="435">
        <v>0.3</v>
      </c>
      <c r="AG76" s="438">
        <v>0.3</v>
      </c>
      <c r="AH76" s="434">
        <v>0.3</v>
      </c>
      <c r="AI76" s="435">
        <v>0.3</v>
      </c>
      <c r="AJ76" s="435">
        <v>0.3</v>
      </c>
      <c r="AK76" s="435">
        <v>0.3</v>
      </c>
      <c r="AL76" s="435">
        <v>0.3</v>
      </c>
      <c r="AM76" s="435">
        <v>0.3</v>
      </c>
      <c r="AN76" s="435">
        <v>0.3</v>
      </c>
      <c r="AO76" s="435">
        <v>0.3</v>
      </c>
      <c r="AP76" s="435">
        <v>0.3</v>
      </c>
      <c r="AQ76" s="435">
        <v>0.3</v>
      </c>
      <c r="AR76" s="436">
        <v>0.3</v>
      </c>
      <c r="AS76" s="435">
        <v>0.3</v>
      </c>
      <c r="AT76" s="435">
        <v>0.3</v>
      </c>
      <c r="AU76" s="435">
        <v>0.3</v>
      </c>
      <c r="AV76" s="435">
        <v>0.3</v>
      </c>
      <c r="AW76" s="435">
        <v>0.3</v>
      </c>
      <c r="AX76" s="435">
        <v>0.3</v>
      </c>
      <c r="AY76" s="435">
        <v>0.3</v>
      </c>
      <c r="AZ76" s="435">
        <v>0.3</v>
      </c>
      <c r="BA76" s="435">
        <v>0.3</v>
      </c>
      <c r="BB76" s="435">
        <v>0.3</v>
      </c>
      <c r="BC76" s="435">
        <v>0.3</v>
      </c>
      <c r="BD76" s="435">
        <v>0.3</v>
      </c>
      <c r="BE76" s="435">
        <v>0.3</v>
      </c>
      <c r="BF76" s="435">
        <v>0.3</v>
      </c>
      <c r="BG76" s="435">
        <v>0.3</v>
      </c>
      <c r="BH76" s="435">
        <v>0.3</v>
      </c>
      <c r="BI76" s="435">
        <v>0.3</v>
      </c>
      <c r="BJ76" s="436">
        <v>0.3</v>
      </c>
      <c r="BK76" s="435">
        <v>0.3</v>
      </c>
      <c r="BL76" s="435">
        <v>0.3</v>
      </c>
      <c r="BM76" s="436">
        <v>0.3</v>
      </c>
      <c r="BN76" s="434">
        <v>0.3</v>
      </c>
      <c r="BO76" s="435">
        <v>0.3</v>
      </c>
      <c r="BP76" s="435">
        <v>0.3</v>
      </c>
      <c r="BQ76" s="435">
        <v>0.3</v>
      </c>
      <c r="BR76" s="438">
        <v>0.3</v>
      </c>
      <c r="BS76" s="434">
        <v>0.3</v>
      </c>
      <c r="BT76" s="435">
        <v>0.3</v>
      </c>
      <c r="BU76" s="435">
        <v>0.3</v>
      </c>
      <c r="BV76" s="435">
        <v>0.3</v>
      </c>
      <c r="BW76" s="435">
        <v>0.3</v>
      </c>
      <c r="BX76" s="435">
        <v>0.3</v>
      </c>
      <c r="BY76" s="435">
        <v>0.3</v>
      </c>
      <c r="BZ76" s="435">
        <v>0.3</v>
      </c>
      <c r="CA76" s="435">
        <v>0.3</v>
      </c>
      <c r="CB76" s="435">
        <v>0.3</v>
      </c>
      <c r="CC76" s="435">
        <v>0.3</v>
      </c>
      <c r="CD76" s="435">
        <v>0.3</v>
      </c>
      <c r="CE76" s="435">
        <v>0.3</v>
      </c>
      <c r="CF76" s="435">
        <v>0.3</v>
      </c>
      <c r="CG76" s="435">
        <v>0.3</v>
      </c>
      <c r="CH76" s="435">
        <v>0.3</v>
      </c>
      <c r="CI76" s="436">
        <v>0.3</v>
      </c>
      <c r="CJ76" s="437">
        <v>0.3</v>
      </c>
      <c r="CK76" s="435">
        <v>0.3</v>
      </c>
      <c r="CL76" s="435">
        <v>0.3</v>
      </c>
      <c r="CM76" s="435">
        <v>0.3</v>
      </c>
      <c r="CN76" s="435">
        <v>0.3</v>
      </c>
      <c r="CO76" s="435">
        <v>0.3</v>
      </c>
      <c r="CP76" s="435">
        <v>0.3</v>
      </c>
      <c r="CQ76" s="435">
        <v>0.3</v>
      </c>
      <c r="CR76" s="435">
        <v>0.3</v>
      </c>
      <c r="CS76" s="435">
        <v>0.3</v>
      </c>
      <c r="CT76" s="436">
        <v>0.3</v>
      </c>
      <c r="CU76" s="785">
        <v>0.3</v>
      </c>
      <c r="CV76" s="785">
        <v>0.3</v>
      </c>
      <c r="CW76" s="785">
        <v>0.3</v>
      </c>
      <c r="CX76" s="785">
        <v>0.3</v>
      </c>
      <c r="CY76" s="785">
        <v>0.3</v>
      </c>
      <c r="CZ76" s="785">
        <v>0.3</v>
      </c>
      <c r="DA76" s="785">
        <v>0.3</v>
      </c>
      <c r="DB76" s="785">
        <v>0.3</v>
      </c>
      <c r="DC76" s="785">
        <v>0.3</v>
      </c>
      <c r="DD76" s="785">
        <v>0.3</v>
      </c>
      <c r="DE76" s="730">
        <v>0.3</v>
      </c>
      <c r="DF76" s="719">
        <v>0.3</v>
      </c>
      <c r="DG76" s="719">
        <v>0.3</v>
      </c>
      <c r="DH76" s="719">
        <v>0.3</v>
      </c>
      <c r="DI76" s="719">
        <v>0.3</v>
      </c>
      <c r="DJ76" s="719">
        <v>0.3</v>
      </c>
      <c r="DK76" s="720">
        <v>0.3</v>
      </c>
      <c r="DL76" s="718">
        <v>0.3</v>
      </c>
      <c r="DM76" s="720">
        <v>0.3</v>
      </c>
      <c r="DN76" s="719">
        <v>0.3</v>
      </c>
      <c r="DO76" s="720">
        <v>0.3</v>
      </c>
      <c r="DP76" s="719">
        <v>0.3</v>
      </c>
      <c r="DQ76" s="730">
        <v>0.3</v>
      </c>
      <c r="DR76" s="719">
        <v>0.3</v>
      </c>
      <c r="DS76" s="719">
        <v>0.3</v>
      </c>
      <c r="DT76" s="730">
        <v>0.3</v>
      </c>
      <c r="DU76" s="719">
        <v>0.3</v>
      </c>
      <c r="DV76" s="719">
        <v>0.3</v>
      </c>
      <c r="DW76" s="719">
        <v>0.3</v>
      </c>
      <c r="DX76" s="719">
        <v>0.3</v>
      </c>
      <c r="DY76" s="730">
        <v>0.3</v>
      </c>
      <c r="DZ76" s="719">
        <v>0.3</v>
      </c>
      <c r="EA76" s="719">
        <v>0.3</v>
      </c>
      <c r="EB76" s="730">
        <v>0.3</v>
      </c>
      <c r="EC76" s="719">
        <v>0.3</v>
      </c>
      <c r="ED76" s="719">
        <v>0.3</v>
      </c>
      <c r="EE76" s="719">
        <v>0.3</v>
      </c>
      <c r="EF76" s="719">
        <v>0.3</v>
      </c>
      <c r="EG76" s="719">
        <v>0.3</v>
      </c>
      <c r="EH76" s="720">
        <v>0.3</v>
      </c>
    </row>
    <row r="77" spans="1:138" s="47" customFormat="1" ht="15" customHeight="1" x14ac:dyDescent="0.3">
      <c r="A77" s="49" t="s">
        <v>3</v>
      </c>
      <c r="B77" s="44" t="s">
        <v>278</v>
      </c>
      <c r="C77" s="9" t="s">
        <v>71</v>
      </c>
      <c r="D77" s="523" t="s">
        <v>52</v>
      </c>
      <c r="E77" s="103">
        <f t="shared" si="11"/>
        <v>43.4</v>
      </c>
      <c r="F77" s="96">
        <f t="shared" si="12"/>
        <v>10.580684257038262</v>
      </c>
      <c r="G77" s="96">
        <f t="shared" si="13"/>
        <v>37</v>
      </c>
      <c r="H77" s="629">
        <f t="shared" si="14"/>
        <v>61.9</v>
      </c>
      <c r="I77" s="424">
        <v>71</v>
      </c>
      <c r="J77" s="425">
        <v>72</v>
      </c>
      <c r="K77" s="425">
        <v>74</v>
      </c>
      <c r="L77" s="425">
        <v>74</v>
      </c>
      <c r="M77" s="425">
        <v>74</v>
      </c>
      <c r="N77" s="425">
        <v>73.8</v>
      </c>
      <c r="O77" s="425">
        <v>73.5</v>
      </c>
      <c r="P77" s="426">
        <v>73</v>
      </c>
      <c r="Q77" s="424">
        <v>49</v>
      </c>
      <c r="R77" s="425">
        <v>50</v>
      </c>
      <c r="S77" s="425">
        <v>51</v>
      </c>
      <c r="T77" s="425">
        <v>51</v>
      </c>
      <c r="U77" s="425">
        <v>50</v>
      </c>
      <c r="V77" s="425">
        <v>48.9</v>
      </c>
      <c r="W77" s="425">
        <v>49.2</v>
      </c>
      <c r="X77" s="426">
        <v>49.7</v>
      </c>
      <c r="Y77" s="425">
        <v>73.900000000000006</v>
      </c>
      <c r="Z77" s="425">
        <v>73.8</v>
      </c>
      <c r="AA77" s="425">
        <v>73.2</v>
      </c>
      <c r="AB77" s="426">
        <v>73</v>
      </c>
      <c r="AC77" s="424">
        <v>49</v>
      </c>
      <c r="AD77" s="425">
        <v>49</v>
      </c>
      <c r="AE77" s="425"/>
      <c r="AF77" s="425"/>
      <c r="AG77" s="428">
        <v>49</v>
      </c>
      <c r="AH77" s="424">
        <v>72.3</v>
      </c>
      <c r="AI77" s="425"/>
      <c r="AJ77" s="425">
        <v>71.2</v>
      </c>
      <c r="AK77" s="425">
        <v>71.400000000000006</v>
      </c>
      <c r="AL77" s="425">
        <v>71.900000000000006</v>
      </c>
      <c r="AM77" s="425">
        <v>72.400000000000006</v>
      </c>
      <c r="AN77" s="425"/>
      <c r="AO77" s="425"/>
      <c r="AP77" s="425"/>
      <c r="AQ77" s="425"/>
      <c r="AR77" s="426">
        <v>73.7</v>
      </c>
      <c r="AS77" s="425">
        <v>73.599999999999994</v>
      </c>
      <c r="AT77" s="425">
        <v>73.599999999999994</v>
      </c>
      <c r="AU77" s="425"/>
      <c r="AV77" s="425"/>
      <c r="AW77" s="425">
        <v>73.3</v>
      </c>
      <c r="AX77" s="425">
        <v>73.3</v>
      </c>
      <c r="AY77" s="425">
        <v>73</v>
      </c>
      <c r="AZ77" s="425">
        <v>73</v>
      </c>
      <c r="BA77" s="425">
        <v>73</v>
      </c>
      <c r="BB77" s="425">
        <v>73</v>
      </c>
      <c r="BC77" s="425">
        <v>73</v>
      </c>
      <c r="BD77" s="425">
        <v>72</v>
      </c>
      <c r="BE77" s="425">
        <v>73</v>
      </c>
      <c r="BF77" s="425"/>
      <c r="BG77" s="425">
        <v>72</v>
      </c>
      <c r="BH77" s="425"/>
      <c r="BI77" s="425">
        <v>72</v>
      </c>
      <c r="BJ77" s="426">
        <v>72</v>
      </c>
      <c r="BK77" s="425">
        <v>72.400000000000006</v>
      </c>
      <c r="BL77" s="425">
        <v>72.5</v>
      </c>
      <c r="BM77" s="426">
        <v>72.7</v>
      </c>
      <c r="BN77" s="424">
        <v>49</v>
      </c>
      <c r="BO77" s="425">
        <v>49</v>
      </c>
      <c r="BP77" s="425"/>
      <c r="BQ77" s="425"/>
      <c r="BR77" s="428">
        <v>49</v>
      </c>
      <c r="BS77" s="424">
        <v>72.2</v>
      </c>
      <c r="BT77" s="425">
        <v>72</v>
      </c>
      <c r="BU77" s="425">
        <v>71.900000000000006</v>
      </c>
      <c r="BV77" s="425">
        <v>72</v>
      </c>
      <c r="BW77" s="425">
        <v>72.2</v>
      </c>
      <c r="BX77" s="425">
        <v>72.400000000000006</v>
      </c>
      <c r="BY77" s="425">
        <v>72.599999999999994</v>
      </c>
      <c r="BZ77" s="425">
        <v>72.7</v>
      </c>
      <c r="CA77" s="425">
        <v>72.8</v>
      </c>
      <c r="CB77" s="425">
        <v>72.8</v>
      </c>
      <c r="CC77" s="425">
        <v>72.900000000000006</v>
      </c>
      <c r="CD77" s="425"/>
      <c r="CE77" s="425"/>
      <c r="CF77" s="425"/>
      <c r="CG77" s="425"/>
      <c r="CH77" s="425"/>
      <c r="CI77" s="426">
        <v>71.400000000000006</v>
      </c>
      <c r="CJ77" s="427">
        <v>72.599999999999994</v>
      </c>
      <c r="CK77" s="425">
        <v>72.7</v>
      </c>
      <c r="CL77" s="425">
        <v>72.8</v>
      </c>
      <c r="CM77" s="425">
        <v>72.8</v>
      </c>
      <c r="CN77" s="425">
        <v>72.900000000000006</v>
      </c>
      <c r="CO77" s="425"/>
      <c r="CP77" s="425"/>
      <c r="CQ77" s="425"/>
      <c r="CR77" s="425"/>
      <c r="CS77" s="425"/>
      <c r="CT77" s="426">
        <v>71.5</v>
      </c>
      <c r="CU77" s="786">
        <v>72.5</v>
      </c>
      <c r="CV77" s="786">
        <v>72</v>
      </c>
      <c r="CW77" s="786">
        <v>72</v>
      </c>
      <c r="CX77" s="786">
        <v>71.900000000000006</v>
      </c>
      <c r="CY77" s="786">
        <v>71.8</v>
      </c>
      <c r="CZ77" s="786">
        <v>49</v>
      </c>
      <c r="DA77" s="786">
        <v>50</v>
      </c>
      <c r="DB77" s="786">
        <v>51</v>
      </c>
      <c r="DC77" s="786">
        <v>51</v>
      </c>
      <c r="DD77" s="786">
        <v>50</v>
      </c>
      <c r="DE77" s="729">
        <v>37</v>
      </c>
      <c r="DF77" s="716">
        <v>37</v>
      </c>
      <c r="DG77" s="716">
        <v>38</v>
      </c>
      <c r="DH77" s="744">
        <v>39</v>
      </c>
      <c r="DI77" s="744">
        <v>40</v>
      </c>
      <c r="DJ77" s="744">
        <v>50.9</v>
      </c>
      <c r="DK77" s="717">
        <v>61.9</v>
      </c>
      <c r="DL77" s="780">
        <v>71</v>
      </c>
      <c r="DM77" s="717">
        <v>72.8</v>
      </c>
      <c r="DN77" s="744">
        <v>49</v>
      </c>
      <c r="DO77" s="717">
        <v>50.2</v>
      </c>
      <c r="DP77" s="744">
        <v>74</v>
      </c>
      <c r="DQ77" s="729"/>
      <c r="DR77" s="716">
        <v>73</v>
      </c>
      <c r="DS77" s="716">
        <v>73</v>
      </c>
      <c r="DT77" s="729">
        <v>73.7</v>
      </c>
      <c r="DU77" s="716">
        <v>72.2</v>
      </c>
      <c r="DV77" s="716"/>
      <c r="DW77" s="744"/>
      <c r="DX77" s="744">
        <v>71.900000000000006</v>
      </c>
      <c r="DY77" s="729">
        <v>72</v>
      </c>
      <c r="DZ77" s="716">
        <v>73.3</v>
      </c>
      <c r="EA77" s="716">
        <v>73.3</v>
      </c>
      <c r="EB77" s="729">
        <v>73.3</v>
      </c>
      <c r="EC77" s="716"/>
      <c r="ED77" s="716"/>
      <c r="EE77" s="744">
        <v>72.7</v>
      </c>
      <c r="EF77" s="744"/>
      <c r="EG77" s="744">
        <v>72.400000000000006</v>
      </c>
      <c r="EH77" s="717">
        <v>73.7</v>
      </c>
    </row>
    <row r="78" spans="1:138" s="47" customFormat="1" ht="15" customHeight="1" x14ac:dyDescent="0.3">
      <c r="A78" s="49" t="s">
        <v>4</v>
      </c>
      <c r="B78" s="44" t="s">
        <v>153</v>
      </c>
      <c r="C78" s="9" t="s">
        <v>71</v>
      </c>
      <c r="D78" s="523" t="s">
        <v>52</v>
      </c>
      <c r="E78" s="103">
        <f t="shared" si="11"/>
        <v>43.942857142857143</v>
      </c>
      <c r="F78" s="96">
        <f t="shared" si="12"/>
        <v>10.940374942844064</v>
      </c>
      <c r="G78" s="96">
        <f t="shared" si="13"/>
        <v>38</v>
      </c>
      <c r="H78" s="629">
        <f t="shared" si="14"/>
        <v>61.1</v>
      </c>
      <c r="I78" s="424">
        <v>73</v>
      </c>
      <c r="J78" s="425">
        <v>73</v>
      </c>
      <c r="K78" s="425">
        <v>73</v>
      </c>
      <c r="L78" s="425">
        <v>73</v>
      </c>
      <c r="M78" s="425">
        <v>72</v>
      </c>
      <c r="N78" s="425">
        <v>71.3</v>
      </c>
      <c r="O78" s="425">
        <v>72.3</v>
      </c>
      <c r="P78" s="426">
        <v>74.5</v>
      </c>
      <c r="Q78" s="424">
        <v>50</v>
      </c>
      <c r="R78" s="425">
        <v>50</v>
      </c>
      <c r="S78" s="425">
        <v>50</v>
      </c>
      <c r="T78" s="425">
        <v>50</v>
      </c>
      <c r="U78" s="425">
        <v>49</v>
      </c>
      <c r="V78" s="425">
        <v>46.4</v>
      </c>
      <c r="W78" s="425">
        <v>46.3</v>
      </c>
      <c r="X78" s="426">
        <v>46</v>
      </c>
      <c r="Y78" s="425">
        <v>72.5</v>
      </c>
      <c r="Z78" s="425">
        <v>71.3</v>
      </c>
      <c r="AA78" s="425">
        <v>72.7</v>
      </c>
      <c r="AB78" s="426">
        <v>74.5</v>
      </c>
      <c r="AC78" s="424">
        <v>50</v>
      </c>
      <c r="AD78" s="425">
        <v>50</v>
      </c>
      <c r="AE78" s="425"/>
      <c r="AF78" s="425"/>
      <c r="AG78" s="428">
        <v>51</v>
      </c>
      <c r="AH78" s="424">
        <v>71.900000000000006</v>
      </c>
      <c r="AI78" s="425"/>
      <c r="AJ78" s="425">
        <v>71.900000000000006</v>
      </c>
      <c r="AK78" s="425">
        <v>71.8</v>
      </c>
      <c r="AL78" s="425">
        <v>71.7</v>
      </c>
      <c r="AM78" s="425">
        <v>71.5</v>
      </c>
      <c r="AN78" s="425"/>
      <c r="AO78" s="425"/>
      <c r="AP78" s="425"/>
      <c r="AQ78" s="425"/>
      <c r="AR78" s="426">
        <v>71.900000000000006</v>
      </c>
      <c r="AS78" s="425">
        <v>71.900000000000006</v>
      </c>
      <c r="AT78" s="425">
        <v>71.900000000000006</v>
      </c>
      <c r="AU78" s="425"/>
      <c r="AV78" s="425"/>
      <c r="AW78" s="425">
        <v>72</v>
      </c>
      <c r="AX78" s="425">
        <v>72</v>
      </c>
      <c r="AY78" s="425">
        <v>72</v>
      </c>
      <c r="AZ78" s="425">
        <v>72</v>
      </c>
      <c r="BA78" s="425">
        <v>72</v>
      </c>
      <c r="BB78" s="425">
        <v>72</v>
      </c>
      <c r="BC78" s="425">
        <v>72</v>
      </c>
      <c r="BD78" s="425">
        <v>72</v>
      </c>
      <c r="BE78" s="425">
        <v>72</v>
      </c>
      <c r="BF78" s="425"/>
      <c r="BG78" s="425">
        <v>73</v>
      </c>
      <c r="BH78" s="425"/>
      <c r="BI78" s="425">
        <v>73</v>
      </c>
      <c r="BJ78" s="426">
        <v>73</v>
      </c>
      <c r="BK78" s="425">
        <v>73</v>
      </c>
      <c r="BL78" s="425">
        <v>73</v>
      </c>
      <c r="BM78" s="426">
        <v>73</v>
      </c>
      <c r="BN78" s="424">
        <v>50</v>
      </c>
      <c r="BO78" s="425">
        <v>50</v>
      </c>
      <c r="BP78" s="425"/>
      <c r="BQ78" s="425"/>
      <c r="BR78" s="428">
        <v>51</v>
      </c>
      <c r="BS78" s="424">
        <v>71.599999999999994</v>
      </c>
      <c r="BT78" s="425">
        <v>71.599999999999994</v>
      </c>
      <c r="BU78" s="425">
        <v>71.599999999999994</v>
      </c>
      <c r="BV78" s="425">
        <v>71.7</v>
      </c>
      <c r="BW78" s="425">
        <v>71.8</v>
      </c>
      <c r="BX78" s="425">
        <v>72</v>
      </c>
      <c r="BY78" s="425">
        <v>72.099999999999994</v>
      </c>
      <c r="BZ78" s="425"/>
      <c r="CA78" s="425"/>
      <c r="CB78" s="425"/>
      <c r="CC78" s="425"/>
      <c r="CD78" s="425"/>
      <c r="CE78" s="425"/>
      <c r="CF78" s="425"/>
      <c r="CG78" s="425"/>
      <c r="CH78" s="425"/>
      <c r="CI78" s="426">
        <v>71.8</v>
      </c>
      <c r="CJ78" s="427">
        <v>72.099999999999994</v>
      </c>
      <c r="CK78" s="425"/>
      <c r="CL78" s="425"/>
      <c r="CM78" s="425"/>
      <c r="CN78" s="425"/>
      <c r="CO78" s="425"/>
      <c r="CP78" s="425"/>
      <c r="CQ78" s="425"/>
      <c r="CR78" s="425"/>
      <c r="CS78" s="425"/>
      <c r="CT78" s="426">
        <v>72.099999999999994</v>
      </c>
      <c r="CU78" s="787">
        <v>71.599999999999994</v>
      </c>
      <c r="CV78" s="787">
        <v>71.599999999999994</v>
      </c>
      <c r="CW78" s="787">
        <v>71.7</v>
      </c>
      <c r="CX78" s="787">
        <v>71.7</v>
      </c>
      <c r="CY78" s="787">
        <v>71.8</v>
      </c>
      <c r="CZ78" s="787">
        <v>50</v>
      </c>
      <c r="DA78" s="787">
        <v>50</v>
      </c>
      <c r="DB78" s="787">
        <v>50</v>
      </c>
      <c r="DC78" s="787">
        <v>50</v>
      </c>
      <c r="DD78" s="787">
        <v>49</v>
      </c>
      <c r="DE78" s="731">
        <v>40</v>
      </c>
      <c r="DF78" s="722">
        <v>40</v>
      </c>
      <c r="DG78" s="722">
        <v>40</v>
      </c>
      <c r="DH78" s="722">
        <v>39</v>
      </c>
      <c r="DI78" s="722">
        <v>38</v>
      </c>
      <c r="DJ78" s="722">
        <v>49.5</v>
      </c>
      <c r="DK78" s="723">
        <v>61.1</v>
      </c>
      <c r="DL78" s="721">
        <v>73</v>
      </c>
      <c r="DM78" s="723">
        <v>72.599999999999994</v>
      </c>
      <c r="DN78" s="722">
        <v>50</v>
      </c>
      <c r="DO78" s="723">
        <v>49.4</v>
      </c>
      <c r="DP78" s="722">
        <v>73</v>
      </c>
      <c r="DQ78" s="731"/>
      <c r="DR78" s="722">
        <v>72</v>
      </c>
      <c r="DS78" s="722">
        <v>72</v>
      </c>
      <c r="DT78" s="731">
        <v>72.3</v>
      </c>
      <c r="DU78" s="722">
        <v>72.3</v>
      </c>
      <c r="DV78" s="722"/>
      <c r="DW78" s="722"/>
      <c r="DX78" s="722">
        <v>72.900000000000006</v>
      </c>
      <c r="DY78" s="731">
        <v>71.099999999999994</v>
      </c>
      <c r="DZ78" s="722">
        <v>71.099999999999994</v>
      </c>
      <c r="EA78" s="722">
        <v>71.099999999999994</v>
      </c>
      <c r="EB78" s="731">
        <v>71.900000000000006</v>
      </c>
      <c r="EC78" s="722"/>
      <c r="ED78" s="722"/>
      <c r="EE78" s="722">
        <v>71.5</v>
      </c>
      <c r="EF78" s="722"/>
      <c r="EG78" s="722">
        <v>71.5</v>
      </c>
      <c r="EH78" s="723">
        <v>71.900000000000006</v>
      </c>
    </row>
    <row r="79" spans="1:138" s="47" customFormat="1" ht="15" customHeight="1" x14ac:dyDescent="0.3">
      <c r="A79" s="49" t="s">
        <v>59</v>
      </c>
      <c r="B79" s="44" t="s">
        <v>26</v>
      </c>
      <c r="C79" s="9" t="s">
        <v>69</v>
      </c>
      <c r="D79" s="523" t="s">
        <v>52</v>
      </c>
      <c r="E79" s="101">
        <f t="shared" si="11"/>
        <v>3.4914285714285717E-2</v>
      </c>
      <c r="F79" s="97">
        <f t="shared" si="12"/>
        <v>7.520089285714282E-2</v>
      </c>
      <c r="G79" s="97">
        <f t="shared" si="13"/>
        <v>2.9000000000000001E-2</v>
      </c>
      <c r="H79" s="627">
        <f t="shared" si="14"/>
        <v>4.3700000000000003E-2</v>
      </c>
      <c r="I79" s="429">
        <v>2.9000000000000001E-2</v>
      </c>
      <c r="J79" s="430">
        <v>2.9000000000000001E-2</v>
      </c>
      <c r="K79" s="430">
        <v>0.03</v>
      </c>
      <c r="L79" s="430">
        <v>3.1E-2</v>
      </c>
      <c r="M79" s="430">
        <v>3.2000000000000001E-2</v>
      </c>
      <c r="N79" s="430">
        <v>3.5000000000000003E-2</v>
      </c>
      <c r="O79" s="430">
        <v>0.04</v>
      </c>
      <c r="P79" s="431">
        <v>0.05</v>
      </c>
      <c r="Q79" s="429">
        <v>2.7E-2</v>
      </c>
      <c r="R79" s="430">
        <v>2.8000000000000001E-2</v>
      </c>
      <c r="S79" s="430">
        <v>0.03</v>
      </c>
      <c r="T79" s="430">
        <v>3.4000000000000002E-2</v>
      </c>
      <c r="U79" s="430">
        <v>3.2000000000000001E-2</v>
      </c>
      <c r="V79" s="430">
        <v>3.4000000000000002E-2</v>
      </c>
      <c r="W79" s="430">
        <v>3.5999999999999997E-2</v>
      </c>
      <c r="X79" s="431">
        <v>4.1000000000000002E-2</v>
      </c>
      <c r="Y79" s="430">
        <v>3.6999999999999998E-2</v>
      </c>
      <c r="Z79" s="430">
        <v>3.9E-2</v>
      </c>
      <c r="AA79" s="430">
        <v>4.2000000000000003E-2</v>
      </c>
      <c r="AB79" s="431">
        <v>4.7E-2</v>
      </c>
      <c r="AC79" s="429">
        <f>27/1000</f>
        <v>2.7E-2</v>
      </c>
      <c r="AD79" s="430">
        <f>27/1000</f>
        <v>2.7E-2</v>
      </c>
      <c r="AE79" s="430">
        <f>29.2/1000</f>
        <v>2.92E-2</v>
      </c>
      <c r="AF79" s="430">
        <f>33.6/1000</f>
        <v>3.3600000000000005E-2</v>
      </c>
      <c r="AG79" s="433">
        <f>38/1000</f>
        <v>3.7999999999999999E-2</v>
      </c>
      <c r="AH79" s="429">
        <v>0.06</v>
      </c>
      <c r="AI79" s="430">
        <v>7.2999999999999995E-2</v>
      </c>
      <c r="AJ79" s="430">
        <v>0.08</v>
      </c>
      <c r="AK79" s="430">
        <v>8.6999999999999994E-2</v>
      </c>
      <c r="AL79" s="430">
        <v>9.8000000000000004E-2</v>
      </c>
      <c r="AM79" s="430">
        <v>0.113</v>
      </c>
      <c r="AN79" s="430">
        <f>191/1000</f>
        <v>0.191</v>
      </c>
      <c r="AO79" s="430">
        <f>189/1000</f>
        <v>0.189</v>
      </c>
      <c r="AP79" s="430">
        <f>188/1000</f>
        <v>0.188</v>
      </c>
      <c r="AQ79" s="430">
        <f>187/1000</f>
        <v>0.187</v>
      </c>
      <c r="AR79" s="431">
        <f>186/1000</f>
        <v>0.186</v>
      </c>
      <c r="AS79" s="430">
        <v>0.191</v>
      </c>
      <c r="AT79" s="430">
        <v>0.191</v>
      </c>
      <c r="AU79" s="430">
        <v>0.20100000000000001</v>
      </c>
      <c r="AV79" s="430">
        <f>201/1000</f>
        <v>0.20100000000000001</v>
      </c>
      <c r="AW79" s="430">
        <v>0.21099999999999999</v>
      </c>
      <c r="AX79" s="430">
        <v>0.21099999999999999</v>
      </c>
      <c r="AY79" s="430">
        <f>226/1000</f>
        <v>0.22600000000000001</v>
      </c>
      <c r="AZ79" s="430">
        <f>226/1000</f>
        <v>0.22600000000000001</v>
      </c>
      <c r="BA79" s="430">
        <v>0.22600000000000001</v>
      </c>
      <c r="BB79" s="430">
        <v>0.247</v>
      </c>
      <c r="BC79" s="430">
        <v>0.22800000000000001</v>
      </c>
      <c r="BD79" s="430">
        <v>0.25900000000000001</v>
      </c>
      <c r="BE79" s="430">
        <v>0.26200000000000001</v>
      </c>
      <c r="BF79" s="430">
        <f>286/1000</f>
        <v>0.28599999999999998</v>
      </c>
      <c r="BG79" s="430">
        <v>0.33700000000000002</v>
      </c>
      <c r="BH79" s="430">
        <f>347/1000</f>
        <v>0.34699999999999998</v>
      </c>
      <c r="BI79" s="430">
        <v>0</v>
      </c>
      <c r="BJ79" s="431">
        <f>384/1000</f>
        <v>0.38400000000000001</v>
      </c>
      <c r="BK79" s="430">
        <v>4.9000000000000002E-2</v>
      </c>
      <c r="BL79" s="430">
        <v>5.7000000000000002E-2</v>
      </c>
      <c r="BM79" s="431">
        <v>6.9000000000000006E-2</v>
      </c>
      <c r="BN79" s="429">
        <f>27/1000</f>
        <v>2.7E-2</v>
      </c>
      <c r="BO79" s="430">
        <f>27/1000</f>
        <v>2.7E-2</v>
      </c>
      <c r="BP79" s="430">
        <f>29.2/1000</f>
        <v>2.92E-2</v>
      </c>
      <c r="BQ79" s="430">
        <f>33.6/1000</f>
        <v>3.3600000000000005E-2</v>
      </c>
      <c r="BR79" s="433">
        <f>38/1000</f>
        <v>3.7999999999999999E-2</v>
      </c>
      <c r="BS79" s="429">
        <v>7.0000000000000007E-2</v>
      </c>
      <c r="BT79" s="430">
        <v>8.3000000000000004E-2</v>
      </c>
      <c r="BU79" s="430">
        <v>0.09</v>
      </c>
      <c r="BV79" s="430">
        <v>9.2999999999999999E-2</v>
      </c>
      <c r="BW79" s="430">
        <v>9.9000000000000005E-2</v>
      </c>
      <c r="BX79" s="430">
        <v>0.106</v>
      </c>
      <c r="BY79" s="430">
        <v>0.113</v>
      </c>
      <c r="BZ79" s="430">
        <v>0.128</v>
      </c>
      <c r="CA79" s="430">
        <v>0.13500000000000001</v>
      </c>
      <c r="CB79" s="430">
        <v>0.14199999999999999</v>
      </c>
      <c r="CC79" s="430">
        <v>0.151</v>
      </c>
      <c r="CD79" s="430">
        <v>0.161</v>
      </c>
      <c r="CE79" s="430">
        <v>0.17899999999999999</v>
      </c>
      <c r="CF79" s="430">
        <v>0.19600000000000001</v>
      </c>
      <c r="CG79" s="430">
        <v>0.22800000000000001</v>
      </c>
      <c r="CH79" s="430">
        <v>0.24399999999999999</v>
      </c>
      <c r="CI79" s="431">
        <v>0.254</v>
      </c>
      <c r="CJ79" s="432">
        <v>0.113</v>
      </c>
      <c r="CK79" s="430">
        <v>0.128</v>
      </c>
      <c r="CL79" s="430">
        <v>0.13500000000000001</v>
      </c>
      <c r="CM79" s="430">
        <v>0.14199999999999999</v>
      </c>
      <c r="CN79" s="430">
        <v>0.151</v>
      </c>
      <c r="CO79" s="430">
        <v>0.161</v>
      </c>
      <c r="CP79" s="430">
        <v>0.17899999999999999</v>
      </c>
      <c r="CQ79" s="430">
        <v>0.19600000000000001</v>
      </c>
      <c r="CR79" s="430">
        <v>0.22800000000000001</v>
      </c>
      <c r="CS79" s="430">
        <v>0.24399999999999999</v>
      </c>
      <c r="CT79" s="431">
        <v>0.254</v>
      </c>
      <c r="CU79" s="786">
        <v>5.5E-2</v>
      </c>
      <c r="CV79" s="786">
        <v>4.7E-2</v>
      </c>
      <c r="CW79" s="786">
        <v>5.3999999999999999E-2</v>
      </c>
      <c r="CX79" s="786">
        <v>6.0999999999999999E-2</v>
      </c>
      <c r="CY79" s="786">
        <v>7.4999999999999997E-2</v>
      </c>
      <c r="CZ79" s="786">
        <v>5.5E-2</v>
      </c>
      <c r="DA79" s="786">
        <v>4.7E-2</v>
      </c>
      <c r="DB79" s="786">
        <v>5.3999999999999999E-2</v>
      </c>
      <c r="DC79" s="786">
        <v>6.0999999999999999E-2</v>
      </c>
      <c r="DD79" s="786">
        <v>7.4999999999999997E-2</v>
      </c>
      <c r="DE79" s="727">
        <v>2.9000000000000001E-2</v>
      </c>
      <c r="DF79" s="725">
        <v>2.9000000000000001E-2</v>
      </c>
      <c r="DG79" s="725">
        <v>3.1300000000000001E-2</v>
      </c>
      <c r="DH79" s="725">
        <v>3.4099999999999998E-2</v>
      </c>
      <c r="DI79" s="725">
        <v>3.6999999999999998E-2</v>
      </c>
      <c r="DJ79" s="725">
        <v>4.0299999999999996E-2</v>
      </c>
      <c r="DK79" s="726">
        <v>4.3700000000000003E-2</v>
      </c>
      <c r="DL79" s="724">
        <v>2.9000000000000001E-2</v>
      </c>
      <c r="DM79" s="726">
        <v>4.7E-2</v>
      </c>
      <c r="DN79" s="725">
        <v>2.7E-2</v>
      </c>
      <c r="DO79" s="726">
        <v>0.05</v>
      </c>
      <c r="DP79" s="725">
        <v>3.4000000000000002E-2</v>
      </c>
      <c r="DQ79" s="727">
        <f>192/1000</f>
        <v>0.192</v>
      </c>
      <c r="DR79" s="725">
        <f>226/1000</f>
        <v>0.22600000000000001</v>
      </c>
      <c r="DS79" s="725">
        <v>0.22600000000000001</v>
      </c>
      <c r="DT79" s="727">
        <f>60/1000</f>
        <v>0.06</v>
      </c>
      <c r="DU79" s="725">
        <f>79/1000</f>
        <v>7.9000000000000001E-2</v>
      </c>
      <c r="DV79" s="725">
        <f>70/1000</f>
        <v>7.0000000000000007E-2</v>
      </c>
      <c r="DW79" s="725">
        <f>64/1000</f>
        <v>6.4000000000000001E-2</v>
      </c>
      <c r="DX79" s="725">
        <f>47/1000</f>
        <v>4.7E-2</v>
      </c>
      <c r="DY79" s="727">
        <f>41/1000</f>
        <v>4.1000000000000002E-2</v>
      </c>
      <c r="DZ79" s="725">
        <f>54/1000</f>
        <v>5.3999999999999999E-2</v>
      </c>
      <c r="EA79" s="725">
        <f>54/1000</f>
        <v>5.3999999999999999E-2</v>
      </c>
      <c r="EB79" s="727">
        <f>121/1000</f>
        <v>0.121</v>
      </c>
      <c r="EC79" s="725">
        <f>118/1000</f>
        <v>0.11799999999999999</v>
      </c>
      <c r="ED79" s="725">
        <f>116/1000</f>
        <v>0.11600000000000001</v>
      </c>
      <c r="EE79" s="725">
        <f>114/1000</f>
        <v>0.114</v>
      </c>
      <c r="EF79" s="725">
        <f>153/1000</f>
        <v>0.153</v>
      </c>
      <c r="EG79" s="725">
        <f>192/1000</f>
        <v>0.192</v>
      </c>
      <c r="EH79" s="726">
        <f>186/1000</f>
        <v>0.186</v>
      </c>
    </row>
    <row r="80" spans="1:138" s="47" customFormat="1" ht="15" customHeight="1" x14ac:dyDescent="0.3">
      <c r="A80" s="49" t="s">
        <v>51</v>
      </c>
      <c r="B80" s="44" t="s">
        <v>27</v>
      </c>
      <c r="C80" s="9" t="s">
        <v>69</v>
      </c>
      <c r="D80" s="523" t="s">
        <v>52</v>
      </c>
      <c r="E80" s="101">
        <f t="shared" si="11"/>
        <v>2.8100000000000003E-2</v>
      </c>
      <c r="F80" s="97">
        <f t="shared" si="12"/>
        <v>1.8349808673469394E-2</v>
      </c>
      <c r="G80" s="97">
        <f t="shared" si="13"/>
        <v>2.7E-2</v>
      </c>
      <c r="H80" s="627">
        <f t="shared" si="14"/>
        <v>2.9000000000000001E-2</v>
      </c>
      <c r="I80" s="429">
        <v>2.9000000000000001E-2</v>
      </c>
      <c r="J80" s="430">
        <v>2.9000000000000001E-2</v>
      </c>
      <c r="K80" s="430">
        <v>2.9000000000000001E-2</v>
      </c>
      <c r="L80" s="430">
        <v>2.9000000000000001E-2</v>
      </c>
      <c r="M80" s="430">
        <v>2.9000000000000001E-2</v>
      </c>
      <c r="N80" s="430">
        <v>2.9000000000000001E-2</v>
      </c>
      <c r="O80" s="430">
        <v>2.9000000000000001E-2</v>
      </c>
      <c r="P80" s="431">
        <v>0.03</v>
      </c>
      <c r="Q80" s="429">
        <v>2.1000000000000001E-2</v>
      </c>
      <c r="R80" s="430">
        <v>2.1000000000000001E-2</v>
      </c>
      <c r="S80" s="430">
        <v>2.1000000000000001E-2</v>
      </c>
      <c r="T80" s="430">
        <v>2.4E-2</v>
      </c>
      <c r="U80" s="430">
        <v>2.5000000000000001E-2</v>
      </c>
      <c r="V80" s="430">
        <v>3.1E-2</v>
      </c>
      <c r="W80" s="430">
        <v>3.1E-2</v>
      </c>
      <c r="X80" s="431">
        <v>3.1E-2</v>
      </c>
      <c r="Y80" s="430">
        <v>1.7000000000000001E-2</v>
      </c>
      <c r="Z80" s="430">
        <v>1.7000000000000001E-2</v>
      </c>
      <c r="AA80" s="430">
        <v>1.7000000000000001E-2</v>
      </c>
      <c r="AB80" s="431">
        <v>1.7999999999999999E-2</v>
      </c>
      <c r="AC80" s="429">
        <f>21/1000</f>
        <v>2.1000000000000001E-2</v>
      </c>
      <c r="AD80" s="430">
        <f>21/1000</f>
        <v>2.1000000000000001E-2</v>
      </c>
      <c r="AE80" s="430">
        <f>21.6/1000</f>
        <v>2.1600000000000001E-2</v>
      </c>
      <c r="AF80" s="430">
        <f>22.8/1000</f>
        <v>2.2800000000000001E-2</v>
      </c>
      <c r="AG80" s="433">
        <f>24/1000</f>
        <v>2.4E-2</v>
      </c>
      <c r="AH80" s="429">
        <v>5.5E-2</v>
      </c>
      <c r="AI80" s="430">
        <v>5.5E-2</v>
      </c>
      <c r="AJ80" s="430">
        <v>5.5E-2</v>
      </c>
      <c r="AK80" s="430">
        <v>5.6000000000000001E-2</v>
      </c>
      <c r="AL80" s="430">
        <v>5.6000000000000001E-2</v>
      </c>
      <c r="AM80" s="430">
        <v>5.6000000000000001E-2</v>
      </c>
      <c r="AN80" s="430">
        <f>47/1000</f>
        <v>4.7E-2</v>
      </c>
      <c r="AO80" s="430">
        <f>52/1000</f>
        <v>5.1999999999999998E-2</v>
      </c>
      <c r="AP80" s="430">
        <f>54/1000</f>
        <v>5.3999999999999999E-2</v>
      </c>
      <c r="AQ80" s="430">
        <f>56/1000</f>
        <v>5.6000000000000001E-2</v>
      </c>
      <c r="AR80" s="431">
        <f>59/1000</f>
        <v>5.8999999999999997E-2</v>
      </c>
      <c r="AS80" s="430">
        <v>5.8000000000000003E-2</v>
      </c>
      <c r="AT80" s="430">
        <v>5.8000000000000003E-2</v>
      </c>
      <c r="AU80" s="430">
        <v>5.6000000000000001E-2</v>
      </c>
      <c r="AV80" s="430">
        <f>56/1000</f>
        <v>5.6000000000000001E-2</v>
      </c>
      <c r="AW80" s="430">
        <v>0.05</v>
      </c>
      <c r="AX80" s="430">
        <v>0.05</v>
      </c>
      <c r="AY80" s="430">
        <f>50/1000</f>
        <v>0.05</v>
      </c>
      <c r="AZ80" s="430">
        <f>50/1000</f>
        <v>0.05</v>
      </c>
      <c r="BA80" s="430">
        <v>0.05</v>
      </c>
      <c r="BB80" s="430">
        <v>5.5E-2</v>
      </c>
      <c r="BC80" s="430">
        <v>0.05</v>
      </c>
      <c r="BD80" s="430">
        <v>5.8000000000000003E-2</v>
      </c>
      <c r="BE80" s="430">
        <v>5.8999999999999997E-2</v>
      </c>
      <c r="BF80" s="430">
        <f>66/1000</f>
        <v>6.6000000000000003E-2</v>
      </c>
      <c r="BG80" s="430">
        <v>7.9000000000000001E-2</v>
      </c>
      <c r="BH80" s="430">
        <f>81/1000</f>
        <v>8.1000000000000003E-2</v>
      </c>
      <c r="BI80" s="430">
        <v>7.9000000000000001E-2</v>
      </c>
      <c r="BJ80" s="431">
        <f>91/1000</f>
        <v>9.0999999999999998E-2</v>
      </c>
      <c r="BK80" s="430">
        <v>2.9000000000000001E-2</v>
      </c>
      <c r="BL80" s="430">
        <v>3.5999999999999997E-2</v>
      </c>
      <c r="BM80" s="431">
        <v>2.9000000000000001E-2</v>
      </c>
      <c r="BN80" s="429">
        <f>21/1000</f>
        <v>2.1000000000000001E-2</v>
      </c>
      <c r="BO80" s="430">
        <f>21/1000</f>
        <v>2.1000000000000001E-2</v>
      </c>
      <c r="BP80" s="430">
        <f>21.6/1000</f>
        <v>2.1600000000000001E-2</v>
      </c>
      <c r="BQ80" s="430">
        <f>22.8/1000</f>
        <v>2.2800000000000001E-2</v>
      </c>
      <c r="BR80" s="433">
        <f>24/1000</f>
        <v>2.4E-2</v>
      </c>
      <c r="BS80" s="429">
        <v>6.5000000000000002E-2</v>
      </c>
      <c r="BT80" s="430">
        <v>6.5000000000000002E-2</v>
      </c>
      <c r="BU80" s="430">
        <v>6.5000000000000002E-2</v>
      </c>
      <c r="BV80" s="430">
        <v>6.6000000000000003E-2</v>
      </c>
      <c r="BW80" s="430">
        <v>6.7000000000000004E-2</v>
      </c>
      <c r="BX80" s="430">
        <v>6.9000000000000006E-2</v>
      </c>
      <c r="BY80" s="430">
        <v>7.0000000000000007E-2</v>
      </c>
      <c r="BZ80" s="430">
        <v>6.6000000000000003E-2</v>
      </c>
      <c r="CA80" s="430">
        <v>6.4000000000000001E-2</v>
      </c>
      <c r="CB80" s="430">
        <v>6.2E-2</v>
      </c>
      <c r="CC80" s="430">
        <v>5.8999999999999997E-2</v>
      </c>
      <c r="CD80" s="430">
        <v>6.3E-2</v>
      </c>
      <c r="CE80" s="430">
        <v>7.0999999999999994E-2</v>
      </c>
      <c r="CF80" s="430">
        <v>7.8E-2</v>
      </c>
      <c r="CG80" s="430">
        <v>9.0999999999999998E-2</v>
      </c>
      <c r="CH80" s="430">
        <v>9.8000000000000004E-2</v>
      </c>
      <c r="CI80" s="431">
        <v>0.10199999999999999</v>
      </c>
      <c r="CJ80" s="432">
        <v>7.0000000000000007E-2</v>
      </c>
      <c r="CK80" s="430">
        <v>6.6000000000000003E-2</v>
      </c>
      <c r="CL80" s="430">
        <v>6.4000000000000001E-2</v>
      </c>
      <c r="CM80" s="430">
        <v>6.2E-2</v>
      </c>
      <c r="CN80" s="430">
        <v>5.8999999999999997E-2</v>
      </c>
      <c r="CO80" s="430">
        <v>6.3E-2</v>
      </c>
      <c r="CP80" s="430">
        <v>7.0999999999999994E-2</v>
      </c>
      <c r="CQ80" s="430">
        <v>7.8E-2</v>
      </c>
      <c r="CR80" s="430">
        <v>9.0999999999999998E-2</v>
      </c>
      <c r="CS80" s="430">
        <v>9.8000000000000004E-2</v>
      </c>
      <c r="CT80" s="431">
        <v>0.10199999999999999</v>
      </c>
      <c r="CU80" s="786">
        <v>0.05</v>
      </c>
      <c r="CV80" s="786">
        <v>0.05</v>
      </c>
      <c r="CW80" s="786">
        <v>4.4999999999999998E-2</v>
      </c>
      <c r="CX80" s="786">
        <v>4.4999999999999998E-2</v>
      </c>
      <c r="CY80" s="786">
        <v>4.4999999999999998E-2</v>
      </c>
      <c r="CZ80" s="786">
        <v>0.05</v>
      </c>
      <c r="DA80" s="786">
        <v>0.05</v>
      </c>
      <c r="DB80" s="786">
        <v>4.4999999999999998E-2</v>
      </c>
      <c r="DC80" s="786">
        <v>4.4999999999999998E-2</v>
      </c>
      <c r="DD80" s="786">
        <v>4.4999999999999998E-2</v>
      </c>
      <c r="DE80" s="728">
        <v>2.9000000000000001E-2</v>
      </c>
      <c r="DF80" s="713">
        <v>2.9000000000000001E-2</v>
      </c>
      <c r="DG80" s="713">
        <v>2.9000000000000001E-2</v>
      </c>
      <c r="DH80" s="713">
        <v>2.7699999999999999E-2</v>
      </c>
      <c r="DI80" s="713">
        <v>2.7E-2</v>
      </c>
      <c r="DJ80" s="713">
        <v>2.7300000000000001E-2</v>
      </c>
      <c r="DK80" s="714">
        <v>2.7699999999999999E-2</v>
      </c>
      <c r="DL80" s="712">
        <v>2.9000000000000001E-2</v>
      </c>
      <c r="DM80" s="714">
        <v>2.8000000000000001E-2</v>
      </c>
      <c r="DN80" s="713">
        <v>2.1000000000000001E-2</v>
      </c>
      <c r="DO80" s="714">
        <v>2.8000000000000001E-2</v>
      </c>
      <c r="DP80" s="713">
        <v>1.6E-2</v>
      </c>
      <c r="DQ80" s="728">
        <f>45/1000</f>
        <v>4.4999999999999998E-2</v>
      </c>
      <c r="DR80" s="713">
        <f>50/1000</f>
        <v>0.05</v>
      </c>
      <c r="DS80" s="713">
        <v>0.05</v>
      </c>
      <c r="DT80" s="728">
        <f>48/1000</f>
        <v>4.8000000000000001E-2</v>
      </c>
      <c r="DU80" s="713">
        <f>48/1000</f>
        <v>4.8000000000000001E-2</v>
      </c>
      <c r="DV80" s="713">
        <f>42/1000</f>
        <v>4.2000000000000003E-2</v>
      </c>
      <c r="DW80" s="713">
        <f>38/1000</f>
        <v>3.7999999999999999E-2</v>
      </c>
      <c r="DX80" s="713">
        <f>27/1000</f>
        <v>2.7E-2</v>
      </c>
      <c r="DY80" s="728">
        <f>32/1000</f>
        <v>3.2000000000000001E-2</v>
      </c>
      <c r="DZ80" s="713">
        <f>32/1000</f>
        <v>3.2000000000000001E-2</v>
      </c>
      <c r="EA80" s="713">
        <f>32/1000</f>
        <v>3.2000000000000001E-2</v>
      </c>
      <c r="EB80" s="728">
        <f>52/1000</f>
        <v>5.1999999999999998E-2</v>
      </c>
      <c r="EC80" s="713">
        <f>48/1000</f>
        <v>4.8000000000000001E-2</v>
      </c>
      <c r="ED80" s="713">
        <f>46/1000</f>
        <v>4.5999999999999999E-2</v>
      </c>
      <c r="EE80" s="713">
        <f>44/1000</f>
        <v>4.3999999999999997E-2</v>
      </c>
      <c r="EF80" s="713">
        <f>44/1000</f>
        <v>4.3999999999999997E-2</v>
      </c>
      <c r="EG80" s="713">
        <f>44/1000</f>
        <v>4.3999999999999997E-2</v>
      </c>
      <c r="EH80" s="714">
        <f>59/1000</f>
        <v>5.8999999999999997E-2</v>
      </c>
    </row>
    <row r="81" spans="1:138" s="47" customFormat="1" ht="15" customHeight="1" x14ac:dyDescent="0.3">
      <c r="A81" s="51" t="s">
        <v>60</v>
      </c>
      <c r="B81" s="59" t="s">
        <v>28</v>
      </c>
      <c r="C81" s="9" t="s">
        <v>69</v>
      </c>
      <c r="D81" s="523" t="s">
        <v>52</v>
      </c>
      <c r="E81" s="101">
        <f t="shared" si="11"/>
        <v>7.0000000000000001E-3</v>
      </c>
      <c r="F81" s="97">
        <f t="shared" si="12"/>
        <v>1.2172831632653047E-3</v>
      </c>
      <c r="G81" s="97">
        <f t="shared" si="13"/>
        <v>7.0000000000000001E-3</v>
      </c>
      <c r="H81" s="627">
        <f t="shared" si="14"/>
        <v>7.0000000000000001E-3</v>
      </c>
      <c r="I81" s="429">
        <v>7.0000000000000001E-3</v>
      </c>
      <c r="J81" s="430">
        <v>7.0000000000000001E-3</v>
      </c>
      <c r="K81" s="430">
        <v>7.0000000000000001E-3</v>
      </c>
      <c r="L81" s="430">
        <v>7.0000000000000001E-3</v>
      </c>
      <c r="M81" s="430">
        <v>7.0000000000000001E-3</v>
      </c>
      <c r="N81" s="430">
        <v>7.0000000000000001E-3</v>
      </c>
      <c r="O81" s="430">
        <v>7.0000000000000001E-3</v>
      </c>
      <c r="P81" s="431">
        <v>7.0000000000000001E-3</v>
      </c>
      <c r="Q81" s="429">
        <v>8.0000000000000002E-3</v>
      </c>
      <c r="R81" s="430">
        <v>8.0000000000000002E-3</v>
      </c>
      <c r="S81" s="430">
        <v>8.0000000000000002E-3</v>
      </c>
      <c r="T81" s="430">
        <v>8.0000000000000002E-3</v>
      </c>
      <c r="U81" s="430">
        <v>8.0000000000000002E-3</v>
      </c>
      <c r="V81" s="430">
        <v>7.0000000000000001E-3</v>
      </c>
      <c r="W81" s="430">
        <v>7.0000000000000001E-3</v>
      </c>
      <c r="X81" s="431">
        <v>7.0000000000000001E-3</v>
      </c>
      <c r="Y81" s="430">
        <v>2E-3</v>
      </c>
      <c r="Z81" s="430">
        <v>2E-3</v>
      </c>
      <c r="AA81" s="430">
        <v>2E-3</v>
      </c>
      <c r="AB81" s="431">
        <v>2E-3</v>
      </c>
      <c r="AC81" s="429">
        <f>8/1000</f>
        <v>8.0000000000000002E-3</v>
      </c>
      <c r="AD81" s="430">
        <f>8/1000</f>
        <v>8.0000000000000002E-3</v>
      </c>
      <c r="AE81" s="430">
        <f>8/1000</f>
        <v>8.0000000000000002E-3</v>
      </c>
      <c r="AF81" s="430">
        <f>8/1000</f>
        <v>8.0000000000000002E-3</v>
      </c>
      <c r="AG81" s="433">
        <f>8/1000</f>
        <v>8.0000000000000002E-3</v>
      </c>
      <c r="AH81" s="429">
        <v>8.9999999999999993E-3</v>
      </c>
      <c r="AI81" s="430">
        <v>8.9999999999999993E-3</v>
      </c>
      <c r="AJ81" s="430">
        <v>8.9999999999999993E-3</v>
      </c>
      <c r="AK81" s="430">
        <v>8.9999999999999993E-3</v>
      </c>
      <c r="AL81" s="430">
        <v>8.9999999999999993E-3</v>
      </c>
      <c r="AM81" s="430">
        <v>8.9999999999999993E-3</v>
      </c>
      <c r="AN81" s="430">
        <f t="shared" ref="AN81:DQ81" si="15">7/1000</f>
        <v>7.0000000000000001E-3</v>
      </c>
      <c r="AO81" s="430">
        <f>6/1000</f>
        <v>6.0000000000000001E-3</v>
      </c>
      <c r="AP81" s="430">
        <f t="shared" ref="AP81:DR81" si="16">6/1000</f>
        <v>6.0000000000000001E-3</v>
      </c>
      <c r="AQ81" s="430">
        <f t="shared" si="16"/>
        <v>6.0000000000000001E-3</v>
      </c>
      <c r="AR81" s="431">
        <f t="shared" si="16"/>
        <v>6.0000000000000001E-3</v>
      </c>
      <c r="AS81" s="430">
        <v>6.0000000000000001E-3</v>
      </c>
      <c r="AT81" s="430">
        <v>6.0000000000000001E-3</v>
      </c>
      <c r="AU81" s="430">
        <v>6.0000000000000001E-3</v>
      </c>
      <c r="AV81" s="430">
        <f t="shared" si="16"/>
        <v>6.0000000000000001E-3</v>
      </c>
      <c r="AW81" s="430">
        <v>6.0000000000000001E-3</v>
      </c>
      <c r="AX81" s="430">
        <v>6.0000000000000001E-3</v>
      </c>
      <c r="AY81" s="430">
        <f t="shared" si="16"/>
        <v>6.0000000000000001E-3</v>
      </c>
      <c r="AZ81" s="430">
        <f t="shared" si="16"/>
        <v>6.0000000000000001E-3</v>
      </c>
      <c r="BA81" s="430">
        <v>6.0000000000000001E-3</v>
      </c>
      <c r="BB81" s="430">
        <v>6.0000000000000001E-3</v>
      </c>
      <c r="BC81" s="430">
        <v>6.0000000000000001E-3</v>
      </c>
      <c r="BD81" s="430">
        <v>6.0000000000000001E-3</v>
      </c>
      <c r="BE81" s="430">
        <v>7.6E-3</v>
      </c>
      <c r="BF81" s="430">
        <f>9.5/1000</f>
        <v>9.4999999999999998E-3</v>
      </c>
      <c r="BG81" s="430">
        <v>1.0999999999999999E-2</v>
      </c>
      <c r="BH81" s="430">
        <f>12.9/1000</f>
        <v>1.29E-2</v>
      </c>
      <c r="BI81" s="430">
        <v>1.2999999999999999E-2</v>
      </c>
      <c r="BJ81" s="431">
        <f>15/1000</f>
        <v>1.4999999999999999E-2</v>
      </c>
      <c r="BK81" s="430">
        <v>5.9000000000000007E-3</v>
      </c>
      <c r="BL81" s="430">
        <v>5.9000000000000007E-3</v>
      </c>
      <c r="BM81" s="431">
        <v>5.9000000000000007E-3</v>
      </c>
      <c r="BN81" s="429">
        <f>8/1000</f>
        <v>8.0000000000000002E-3</v>
      </c>
      <c r="BO81" s="430">
        <f>8/1000</f>
        <v>8.0000000000000002E-3</v>
      </c>
      <c r="BP81" s="430">
        <f>8/1000</f>
        <v>8.0000000000000002E-3</v>
      </c>
      <c r="BQ81" s="430">
        <f>8/1000</f>
        <v>8.0000000000000002E-3</v>
      </c>
      <c r="BR81" s="433">
        <f>8/1000</f>
        <v>8.0000000000000002E-3</v>
      </c>
      <c r="BS81" s="429">
        <v>8.9999999999999993E-3</v>
      </c>
      <c r="BT81" s="430">
        <v>8.9999999999999993E-3</v>
      </c>
      <c r="BU81" s="430">
        <v>8.9999999999999993E-3</v>
      </c>
      <c r="BV81" s="430">
        <v>8.9999999999999993E-3</v>
      </c>
      <c r="BW81" s="430">
        <v>8.9999999999999993E-3</v>
      </c>
      <c r="BX81" s="430">
        <v>8.9999999999999993E-3</v>
      </c>
      <c r="BY81" s="430">
        <v>6.0000000000000001E-3</v>
      </c>
      <c r="BZ81" s="430">
        <v>6.0000000000000001E-3</v>
      </c>
      <c r="CA81" s="430">
        <v>6.0000000000000001E-3</v>
      </c>
      <c r="CB81" s="430">
        <v>6.0000000000000001E-3</v>
      </c>
      <c r="CC81" s="430">
        <v>6.0000000000000001E-3</v>
      </c>
      <c r="CD81" s="430">
        <v>6.0000000000000001E-3</v>
      </c>
      <c r="CE81" s="430">
        <v>6.0000000000000001E-3</v>
      </c>
      <c r="CF81" s="430">
        <v>6.0000000000000001E-3</v>
      </c>
      <c r="CG81" s="430">
        <v>6.0000000000000001E-3</v>
      </c>
      <c r="CH81" s="430">
        <v>6.0000000000000001E-3</v>
      </c>
      <c r="CI81" s="431">
        <v>8.5000000000000006E-3</v>
      </c>
      <c r="CJ81" s="432">
        <v>6.0000000000000001E-3</v>
      </c>
      <c r="CK81" s="430">
        <v>6.0000000000000001E-3</v>
      </c>
      <c r="CL81" s="430">
        <v>6.0000000000000001E-3</v>
      </c>
      <c r="CM81" s="430">
        <v>6.0000000000000001E-3</v>
      </c>
      <c r="CN81" s="430">
        <v>6.0000000000000001E-3</v>
      </c>
      <c r="CO81" s="430">
        <v>6.0000000000000001E-3</v>
      </c>
      <c r="CP81" s="430">
        <v>6.0000000000000001E-3</v>
      </c>
      <c r="CQ81" s="430">
        <v>6.0000000000000001E-3</v>
      </c>
      <c r="CR81" s="430">
        <v>6.0000000000000001E-3</v>
      </c>
      <c r="CS81" s="430">
        <v>6.0000000000000001E-3</v>
      </c>
      <c r="CT81" s="431">
        <v>8.5000000000000006E-3</v>
      </c>
      <c r="CU81" s="788">
        <v>7.0000000000000001E-3</v>
      </c>
      <c r="CV81" s="788">
        <v>7.0000000000000001E-3</v>
      </c>
      <c r="CW81" s="788">
        <v>7.0000000000000001E-3</v>
      </c>
      <c r="CX81" s="788">
        <v>7.0000000000000001E-3</v>
      </c>
      <c r="CY81" s="788">
        <v>7.0000000000000001E-3</v>
      </c>
      <c r="CZ81" s="788">
        <v>7.0000000000000001E-3</v>
      </c>
      <c r="DA81" s="788">
        <v>7.0000000000000001E-3</v>
      </c>
      <c r="DB81" s="788">
        <v>7.0000000000000001E-3</v>
      </c>
      <c r="DC81" s="788">
        <v>7.0000000000000001E-3</v>
      </c>
      <c r="DD81" s="788">
        <v>7.0000000000000001E-3</v>
      </c>
      <c r="DE81" s="728">
        <v>7.0000000000000001E-3</v>
      </c>
      <c r="DF81" s="713">
        <v>7.0000000000000001E-3</v>
      </c>
      <c r="DG81" s="713">
        <v>7.0000000000000001E-3</v>
      </c>
      <c r="DH81" s="713">
        <v>7.0000000000000001E-3</v>
      </c>
      <c r="DI81" s="713">
        <v>7.0000000000000001E-3</v>
      </c>
      <c r="DJ81" s="713">
        <v>7.0000000000000001E-3</v>
      </c>
      <c r="DK81" s="714">
        <v>7.0000000000000001E-3</v>
      </c>
      <c r="DL81" s="712">
        <v>7.0000000000000001E-3</v>
      </c>
      <c r="DM81" s="714">
        <v>7.0000000000000001E-3</v>
      </c>
      <c r="DN81" s="713">
        <v>8.0000000000000002E-3</v>
      </c>
      <c r="DO81" s="714">
        <v>7.0000000000000001E-3</v>
      </c>
      <c r="DP81" s="713">
        <v>2E-3</v>
      </c>
      <c r="DQ81" s="728">
        <f t="shared" si="15"/>
        <v>7.0000000000000001E-3</v>
      </c>
      <c r="DR81" s="713">
        <f t="shared" si="16"/>
        <v>6.0000000000000001E-3</v>
      </c>
      <c r="DS81" s="713">
        <v>6.0000000000000001E-3</v>
      </c>
      <c r="DT81" s="728">
        <f>9/1000</f>
        <v>8.9999999999999993E-3</v>
      </c>
      <c r="DU81" s="713">
        <f>9/1000</f>
        <v>8.9999999999999993E-3</v>
      </c>
      <c r="DV81" s="713">
        <f>8/1000</f>
        <v>8.0000000000000002E-3</v>
      </c>
      <c r="DW81" s="713">
        <f>7.5/1000</f>
        <v>7.4999999999999997E-3</v>
      </c>
      <c r="DX81" s="713">
        <f>6/1000</f>
        <v>6.0000000000000001E-3</v>
      </c>
      <c r="DY81" s="728">
        <f t="shared" ref="DY81:EA81" si="17">6/1000</f>
        <v>6.0000000000000001E-3</v>
      </c>
      <c r="DZ81" s="713">
        <f t="shared" si="17"/>
        <v>6.0000000000000001E-3</v>
      </c>
      <c r="EA81" s="713">
        <f t="shared" si="17"/>
        <v>6.0000000000000001E-3</v>
      </c>
      <c r="EB81" s="728">
        <f t="shared" ref="EB81:EG81" si="18">7/1000</f>
        <v>7.0000000000000001E-3</v>
      </c>
      <c r="EC81" s="713">
        <f t="shared" si="18"/>
        <v>7.0000000000000001E-3</v>
      </c>
      <c r="ED81" s="713">
        <f t="shared" si="18"/>
        <v>7.0000000000000001E-3</v>
      </c>
      <c r="EE81" s="713">
        <f t="shared" si="18"/>
        <v>7.0000000000000001E-3</v>
      </c>
      <c r="EF81" s="713">
        <f t="shared" si="18"/>
        <v>7.0000000000000001E-3</v>
      </c>
      <c r="EG81" s="713">
        <f t="shared" si="18"/>
        <v>7.0000000000000001E-3</v>
      </c>
      <c r="EH81" s="714">
        <f>6/1000</f>
        <v>6.0000000000000001E-3</v>
      </c>
    </row>
    <row r="82" spans="1:138" s="47" customFormat="1" ht="15" customHeight="1" x14ac:dyDescent="0.3">
      <c r="A82" s="49" t="s">
        <v>17</v>
      </c>
      <c r="B82" s="44" t="s">
        <v>101</v>
      </c>
      <c r="C82" s="9" t="s">
        <v>70</v>
      </c>
      <c r="D82" s="523" t="s">
        <v>52</v>
      </c>
      <c r="E82" s="101">
        <f t="shared" si="11"/>
        <v>0.96557142857142852</v>
      </c>
      <c r="F82" s="97">
        <f t="shared" si="12"/>
        <v>2.8596938775510207E-2</v>
      </c>
      <c r="G82" s="97">
        <f t="shared" si="13"/>
        <v>0.96200000000000008</v>
      </c>
      <c r="H82" s="627">
        <f t="shared" si="14"/>
        <v>0.96799999999999997</v>
      </c>
      <c r="I82" s="429">
        <v>0.94700000000000006</v>
      </c>
      <c r="J82" s="430">
        <v>0.94799999999999995</v>
      </c>
      <c r="K82" s="430">
        <v>0.94900000000000007</v>
      </c>
      <c r="L82" s="430">
        <v>0.94900000000000007</v>
      </c>
      <c r="M82" s="430">
        <v>0.94900000000000007</v>
      </c>
      <c r="N82" s="430">
        <v>0.95</v>
      </c>
      <c r="O82" s="430">
        <v>0.95099999999999996</v>
      </c>
      <c r="P82" s="431">
        <v>0.95299999999999996</v>
      </c>
      <c r="Q82" s="429">
        <v>1.048</v>
      </c>
      <c r="R82" s="430">
        <v>1.0449999999999999</v>
      </c>
      <c r="S82" s="430">
        <v>1.042</v>
      </c>
      <c r="T82" s="430">
        <v>1.042</v>
      </c>
      <c r="U82" s="430">
        <v>1.0449999999999999</v>
      </c>
      <c r="V82" s="430">
        <v>1.052</v>
      </c>
      <c r="W82" s="430">
        <v>1.052</v>
      </c>
      <c r="X82" s="431">
        <v>1.052</v>
      </c>
      <c r="Y82" s="430">
        <v>0.95099999999999996</v>
      </c>
      <c r="Z82" s="430">
        <v>0.95</v>
      </c>
      <c r="AA82" s="430">
        <v>0.95099999999999996</v>
      </c>
      <c r="AB82" s="431">
        <v>0.95299999999999996</v>
      </c>
      <c r="AC82" s="429">
        <v>0.94699999999999995</v>
      </c>
      <c r="AD82" s="430">
        <v>0.94699999999999995</v>
      </c>
      <c r="AE82" s="430">
        <v>0.94799999999999995</v>
      </c>
      <c r="AF82" s="430">
        <v>0.95</v>
      </c>
      <c r="AG82" s="433">
        <v>0.95199999999999996</v>
      </c>
      <c r="AH82" s="429">
        <v>0.96200000000000008</v>
      </c>
      <c r="AI82" s="430">
        <v>0.96299999999999997</v>
      </c>
      <c r="AJ82" s="430">
        <v>0.96400000000000008</v>
      </c>
      <c r="AK82" s="430">
        <v>0.96099999999999997</v>
      </c>
      <c r="AL82" s="430">
        <v>0.95499999999999996</v>
      </c>
      <c r="AM82" s="430">
        <v>0.94799999999999995</v>
      </c>
      <c r="AN82" s="430">
        <v>0.94599999999999995</v>
      </c>
      <c r="AO82" s="430">
        <v>0.94099999999999995</v>
      </c>
      <c r="AP82" s="430">
        <v>0.93799999999999994</v>
      </c>
      <c r="AQ82" s="430">
        <v>0.93600000000000005</v>
      </c>
      <c r="AR82" s="431">
        <v>0.93300000000000005</v>
      </c>
      <c r="AS82" s="430">
        <v>0.93500000000000005</v>
      </c>
      <c r="AT82" s="430">
        <v>0.93500000000000005</v>
      </c>
      <c r="AU82" s="430">
        <v>0.93799999999999994</v>
      </c>
      <c r="AV82" s="430">
        <v>0.93799999999999994</v>
      </c>
      <c r="AW82" s="430">
        <v>0.94200000000000006</v>
      </c>
      <c r="AX82" s="430">
        <v>0.94200000000000006</v>
      </c>
      <c r="AY82" s="430">
        <v>0.94699999999999995</v>
      </c>
      <c r="AZ82" s="430">
        <v>0.94699999999999995</v>
      </c>
      <c r="BA82" s="430">
        <v>0.94700000000000006</v>
      </c>
      <c r="BB82" s="430">
        <v>0.94599999999999995</v>
      </c>
      <c r="BC82" s="430">
        <v>0.94700000000000006</v>
      </c>
      <c r="BD82" s="430">
        <v>0.94599999999999995</v>
      </c>
      <c r="BE82" s="430">
        <v>0.94599999999999995</v>
      </c>
      <c r="BF82" s="430">
        <v>0.94499999999999995</v>
      </c>
      <c r="BG82" s="430">
        <v>0.94400000000000006</v>
      </c>
      <c r="BH82" s="430">
        <v>0.94399999999999995</v>
      </c>
      <c r="BI82" s="430">
        <v>0.94299999999999995</v>
      </c>
      <c r="BJ82" s="431">
        <v>0.94299999999999995</v>
      </c>
      <c r="BK82" s="430">
        <v>0.94900000000000007</v>
      </c>
      <c r="BL82" s="430">
        <v>0.94499999999999995</v>
      </c>
      <c r="BM82" s="431">
        <v>0.93799999999999994</v>
      </c>
      <c r="BN82" s="429">
        <v>1.048</v>
      </c>
      <c r="BO82" s="430">
        <v>1.048</v>
      </c>
      <c r="BP82" s="430">
        <v>1.05</v>
      </c>
      <c r="BQ82" s="430">
        <v>1.0529999999999999</v>
      </c>
      <c r="BR82" s="433">
        <v>1.0569999999999999</v>
      </c>
      <c r="BS82" s="429">
        <v>0.96599999999999997</v>
      </c>
      <c r="BT82" s="430">
        <v>0.96499999999999997</v>
      </c>
      <c r="BU82" s="430">
        <v>0.96400000000000008</v>
      </c>
      <c r="BV82" s="430">
        <v>0.96200000000000008</v>
      </c>
      <c r="BW82" s="430">
        <v>0.95900000000000007</v>
      </c>
      <c r="BX82" s="430">
        <v>0.95499999999999996</v>
      </c>
      <c r="BY82" s="430">
        <v>0.95200000000000007</v>
      </c>
      <c r="BZ82" s="430">
        <v>0.94799999999999995</v>
      </c>
      <c r="CA82" s="430">
        <v>0.94599999999999995</v>
      </c>
      <c r="CB82" s="430">
        <v>0.94400000000000006</v>
      </c>
      <c r="CC82" s="430">
        <v>0.94099999999999995</v>
      </c>
      <c r="CD82" s="430">
        <v>0.94099999999999995</v>
      </c>
      <c r="CE82" s="430">
        <v>0.94200000000000006</v>
      </c>
      <c r="CF82" s="430">
        <v>0.94299999999999995</v>
      </c>
      <c r="CG82" s="430">
        <v>0.94499999999999995</v>
      </c>
      <c r="CH82" s="430">
        <v>0.94599999999999995</v>
      </c>
      <c r="CI82" s="431">
        <v>0.94599999999999995</v>
      </c>
      <c r="CJ82" s="432">
        <v>0.95200000000000007</v>
      </c>
      <c r="CK82" s="430">
        <v>0.94799999999999995</v>
      </c>
      <c r="CL82" s="430">
        <v>0.94599999999999995</v>
      </c>
      <c r="CM82" s="430">
        <v>0.94400000000000006</v>
      </c>
      <c r="CN82" s="430">
        <v>0.94099999999999995</v>
      </c>
      <c r="CO82" s="430">
        <v>0.94099999999999995</v>
      </c>
      <c r="CP82" s="430">
        <v>0.94200000000000006</v>
      </c>
      <c r="CQ82" s="430">
        <v>0.94299999999999995</v>
      </c>
      <c r="CR82" s="430">
        <v>0.94499999999999995</v>
      </c>
      <c r="CS82" s="430">
        <v>0.94599999999999995</v>
      </c>
      <c r="CT82" s="431">
        <v>0.94599999999999995</v>
      </c>
      <c r="CU82" s="789">
        <v>0.95499999999999996</v>
      </c>
      <c r="CV82" s="789">
        <v>0.95799999999999996</v>
      </c>
      <c r="CW82" s="789">
        <v>0.96499999999999997</v>
      </c>
      <c r="CX82" s="789">
        <v>0.96299999999999997</v>
      </c>
      <c r="CY82" s="789">
        <v>0.96700000000000008</v>
      </c>
      <c r="CZ82" s="789">
        <v>1.048</v>
      </c>
      <c r="DA82" s="789">
        <v>1.046</v>
      </c>
      <c r="DB82" s="789">
        <v>1.046</v>
      </c>
      <c r="DC82" s="789">
        <v>1.046</v>
      </c>
      <c r="DD82" s="789">
        <v>1.0449999999999999</v>
      </c>
      <c r="DE82" s="728">
        <v>0.96799999999999997</v>
      </c>
      <c r="DF82" s="713">
        <v>0.96799999999999997</v>
      </c>
      <c r="DG82" s="713">
        <v>0.96699999999999997</v>
      </c>
      <c r="DH82" s="713">
        <v>0.96599999999999997</v>
      </c>
      <c r="DI82" s="713">
        <v>0.96499999999999997</v>
      </c>
      <c r="DJ82" s="713">
        <v>0.96299999999999997</v>
      </c>
      <c r="DK82" s="714">
        <v>0.96200000000000008</v>
      </c>
      <c r="DL82" s="712">
        <v>0.94700000000000006</v>
      </c>
      <c r="DM82" s="714">
        <v>0.94700000000000006</v>
      </c>
      <c r="DN82" s="713">
        <v>1.048</v>
      </c>
      <c r="DO82" s="714">
        <v>1.028</v>
      </c>
      <c r="DP82" s="713">
        <v>0.95200000000000007</v>
      </c>
      <c r="DQ82" s="728">
        <v>0.94699999999999995</v>
      </c>
      <c r="DR82" s="713">
        <v>0.94699999999999995</v>
      </c>
      <c r="DS82" s="713">
        <v>0.94700000000000006</v>
      </c>
      <c r="DT82" s="728">
        <v>0.93400000000000005</v>
      </c>
      <c r="DU82" s="713">
        <f>93.6/100</f>
        <v>0.93599999999999994</v>
      </c>
      <c r="DV82" s="713">
        <f>93.5/100</f>
        <v>0.93500000000000005</v>
      </c>
      <c r="DW82" s="713">
        <f>93.4/100</f>
        <v>0.93400000000000005</v>
      </c>
      <c r="DX82" s="713">
        <f>93.2/100</f>
        <v>0.93200000000000005</v>
      </c>
      <c r="DY82" s="728">
        <f>94.4/100</f>
        <v>0.94400000000000006</v>
      </c>
      <c r="DZ82" s="713">
        <f>95/100</f>
        <v>0.95</v>
      </c>
      <c r="EA82" s="713">
        <f>95/100</f>
        <v>0.95</v>
      </c>
      <c r="EB82" s="728">
        <f>94.7/100</f>
        <v>0.94700000000000006</v>
      </c>
      <c r="EC82" s="713">
        <f>95.4/100</f>
        <v>0.95400000000000007</v>
      </c>
      <c r="ED82" s="713">
        <f>95.7/100</f>
        <v>0.95700000000000007</v>
      </c>
      <c r="EE82" s="713">
        <f>96/100</f>
        <v>0.96</v>
      </c>
      <c r="EF82" s="713">
        <f>96.5/100</f>
        <v>0.96499999999999997</v>
      </c>
      <c r="EG82" s="713">
        <f>94.8/100</f>
        <v>0.94799999999999995</v>
      </c>
      <c r="EH82" s="714">
        <f>93.3/100</f>
        <v>0.93299999999999994</v>
      </c>
    </row>
    <row r="83" spans="1:138" s="47" customFormat="1" ht="15" customHeight="1" thickBot="1" x14ac:dyDescent="0.35">
      <c r="A83" s="53" t="s">
        <v>18</v>
      </c>
      <c r="B83" s="61" t="s">
        <v>102</v>
      </c>
      <c r="C83" s="10" t="s">
        <v>70</v>
      </c>
      <c r="D83" s="524" t="s">
        <v>52</v>
      </c>
      <c r="E83" s="104">
        <f t="shared" si="11"/>
        <v>0.95828571428571419</v>
      </c>
      <c r="F83" s="105">
        <f t="shared" si="12"/>
        <v>2.6304049744897657E-2</v>
      </c>
      <c r="G83" s="105">
        <f t="shared" si="13"/>
        <v>0.94299999999999995</v>
      </c>
      <c r="H83" s="630">
        <f t="shared" si="14"/>
        <v>0.97599999999999998</v>
      </c>
      <c r="I83" s="439">
        <v>0.94700000000000006</v>
      </c>
      <c r="J83" s="440">
        <v>0.94700000000000006</v>
      </c>
      <c r="K83" s="440">
        <v>0.94700000000000006</v>
      </c>
      <c r="L83" s="440">
        <v>0.94900000000000007</v>
      </c>
      <c r="M83" s="440">
        <v>0.95299999999999996</v>
      </c>
      <c r="N83" s="440">
        <v>0.96400000000000008</v>
      </c>
      <c r="O83" s="440">
        <v>0.96200000000000008</v>
      </c>
      <c r="P83" s="441">
        <v>0.95799999999999996</v>
      </c>
      <c r="Q83" s="439">
        <v>1.0409999999999999</v>
      </c>
      <c r="R83" s="440">
        <v>1.0409999999999999</v>
      </c>
      <c r="S83" s="440">
        <v>1.0409999999999999</v>
      </c>
      <c r="T83" s="440">
        <v>1.0409999999999999</v>
      </c>
      <c r="U83" s="440">
        <v>1.0429999999999999</v>
      </c>
      <c r="V83" s="440">
        <v>1.0449999999999999</v>
      </c>
      <c r="W83" s="440">
        <v>1.042</v>
      </c>
      <c r="X83" s="441">
        <v>1.0369999999999999</v>
      </c>
      <c r="Y83" s="440">
        <v>0.92400000000000004</v>
      </c>
      <c r="Z83" s="440">
        <v>0.96400000000000008</v>
      </c>
      <c r="AA83" s="440">
        <v>0.96200000000000008</v>
      </c>
      <c r="AB83" s="441">
        <v>0.95799999999999996</v>
      </c>
      <c r="AC83" s="439">
        <v>0.94699999999999995</v>
      </c>
      <c r="AD83" s="440">
        <v>0.94699999999999995</v>
      </c>
      <c r="AE83" s="440">
        <v>0.94699999999999995</v>
      </c>
      <c r="AF83" s="440">
        <v>0.95499999999999996</v>
      </c>
      <c r="AG83" s="443">
        <v>0.90700000000000003</v>
      </c>
      <c r="AH83" s="439">
        <v>0.93700000000000006</v>
      </c>
      <c r="AI83" s="440">
        <v>0.93700000000000006</v>
      </c>
      <c r="AJ83" s="440">
        <v>0.93700000000000006</v>
      </c>
      <c r="AK83" s="440">
        <v>0.94</v>
      </c>
      <c r="AL83" s="440">
        <v>0.94499999999999995</v>
      </c>
      <c r="AM83" s="440">
        <v>0.95200000000000007</v>
      </c>
      <c r="AN83" s="440">
        <v>0.95199999999999996</v>
      </c>
      <c r="AO83" s="440">
        <v>0.95299999999999996</v>
      </c>
      <c r="AP83" s="440">
        <v>0.95299999999999996</v>
      </c>
      <c r="AQ83" s="440">
        <v>0.95399999999999996</v>
      </c>
      <c r="AR83" s="441">
        <v>0.95399999999999996</v>
      </c>
      <c r="AS83" s="440">
        <v>0.95700000000000007</v>
      </c>
      <c r="AT83" s="440">
        <v>0.95700000000000007</v>
      </c>
      <c r="AU83" s="440">
        <v>0.96099999999999997</v>
      </c>
      <c r="AV83" s="440">
        <v>0.96099999999999997</v>
      </c>
      <c r="AW83" s="440">
        <v>0.93700000000000006</v>
      </c>
      <c r="AX83" s="440">
        <v>0.93700000000000006</v>
      </c>
      <c r="AY83" s="440">
        <v>0.97399999999999998</v>
      </c>
      <c r="AZ83" s="440">
        <v>0.97399999999999998</v>
      </c>
      <c r="BA83" s="440">
        <v>0.97400000000000009</v>
      </c>
      <c r="BB83" s="440">
        <v>0.97299999999999998</v>
      </c>
      <c r="BC83" s="440">
        <v>0.97400000000000009</v>
      </c>
      <c r="BD83" s="440">
        <v>0.97299999999999998</v>
      </c>
      <c r="BE83" s="440">
        <v>0.97299999999999998</v>
      </c>
      <c r="BF83" s="440">
        <v>0.97199999999999998</v>
      </c>
      <c r="BG83" s="440">
        <v>0.97</v>
      </c>
      <c r="BH83" s="440">
        <v>0.96899999999999997</v>
      </c>
      <c r="BI83" s="440">
        <v>0.96799999999999997</v>
      </c>
      <c r="BJ83" s="441">
        <v>0.96799999999999997</v>
      </c>
      <c r="BK83" s="440">
        <v>0.94599999999999995</v>
      </c>
      <c r="BL83" s="440">
        <v>0.96400000000000008</v>
      </c>
      <c r="BM83" s="441">
        <v>0.96400000000000008</v>
      </c>
      <c r="BN83" s="439">
        <v>1.0409999999999999</v>
      </c>
      <c r="BO83" s="440">
        <v>1.0409999999999999</v>
      </c>
      <c r="BP83" s="440">
        <v>1.0409999999999999</v>
      </c>
      <c r="BQ83" s="440">
        <v>1.0569999999999999</v>
      </c>
      <c r="BR83" s="443">
        <v>1.034</v>
      </c>
      <c r="BS83" s="439">
        <v>0.94099999999999995</v>
      </c>
      <c r="BT83" s="440">
        <v>0.94099999999999995</v>
      </c>
      <c r="BU83" s="440">
        <v>0.94099999999999995</v>
      </c>
      <c r="BV83" s="440">
        <v>0.94299999999999995</v>
      </c>
      <c r="BW83" s="440">
        <v>0.94599999999999995</v>
      </c>
      <c r="BX83" s="440">
        <v>0.95</v>
      </c>
      <c r="BY83" s="440">
        <v>0.95299999999999996</v>
      </c>
      <c r="BZ83" s="440">
        <v>0.95299999999999996</v>
      </c>
      <c r="CA83" s="440">
        <v>0.95400000000000007</v>
      </c>
      <c r="CB83" s="440">
        <v>0.95400000000000007</v>
      </c>
      <c r="CC83" s="440">
        <v>0.95400000000000007</v>
      </c>
      <c r="CD83" s="440">
        <v>0.95499999999999996</v>
      </c>
      <c r="CE83" s="440">
        <v>0.95599999999999996</v>
      </c>
      <c r="CF83" s="440">
        <v>0.95700000000000007</v>
      </c>
      <c r="CG83" s="440">
        <v>0.96</v>
      </c>
      <c r="CH83" s="440">
        <v>0.96099999999999997</v>
      </c>
      <c r="CI83" s="441">
        <v>0.96200000000000008</v>
      </c>
      <c r="CJ83" s="442">
        <v>0.95299999999999996</v>
      </c>
      <c r="CK83" s="440">
        <v>0.95299999999999996</v>
      </c>
      <c r="CL83" s="440">
        <v>0.95400000000000007</v>
      </c>
      <c r="CM83" s="440">
        <v>0.95400000000000007</v>
      </c>
      <c r="CN83" s="440">
        <v>0.95400000000000007</v>
      </c>
      <c r="CO83" s="440">
        <v>0.95499999999999996</v>
      </c>
      <c r="CP83" s="440">
        <v>0.95599999999999996</v>
      </c>
      <c r="CQ83" s="440">
        <v>0.95700000000000007</v>
      </c>
      <c r="CR83" s="440">
        <v>0.96</v>
      </c>
      <c r="CS83" s="440">
        <v>0.96099999999999997</v>
      </c>
      <c r="CT83" s="441">
        <v>0.96200000000000008</v>
      </c>
      <c r="CU83" s="790">
        <v>0.95</v>
      </c>
      <c r="CV83" s="790">
        <v>0.95</v>
      </c>
      <c r="CW83" s="790">
        <v>0.95700000000000007</v>
      </c>
      <c r="CX83" s="790">
        <v>0.95700000000000007</v>
      </c>
      <c r="CY83" s="790">
        <v>0.95700000000000007</v>
      </c>
      <c r="CZ83" s="790">
        <v>1.0409999999999999</v>
      </c>
      <c r="DA83" s="790">
        <v>1.0409999999999999</v>
      </c>
      <c r="DB83" s="790">
        <v>1.0429999999999999</v>
      </c>
      <c r="DC83" s="790">
        <v>1.0429999999999999</v>
      </c>
      <c r="DD83" s="790">
        <v>1.0429999999999999</v>
      </c>
      <c r="DE83" s="732">
        <v>0.94299999999999995</v>
      </c>
      <c r="DF83" s="733">
        <v>0.94299999999999995</v>
      </c>
      <c r="DG83" s="733">
        <v>0.94799999999999995</v>
      </c>
      <c r="DH83" s="733">
        <v>0.95799999999999996</v>
      </c>
      <c r="DI83" s="733">
        <v>0.96799999999999997</v>
      </c>
      <c r="DJ83" s="733">
        <v>0.97199999999999998</v>
      </c>
      <c r="DK83" s="734">
        <v>0.97599999999999998</v>
      </c>
      <c r="DL83" s="781">
        <v>0.94700000000000006</v>
      </c>
      <c r="DM83" s="734">
        <v>0.95</v>
      </c>
      <c r="DN83" s="733">
        <v>1.0409999999999999</v>
      </c>
      <c r="DO83" s="734">
        <v>1.0329999999999999</v>
      </c>
      <c r="DP83" s="733">
        <v>0.90700000000000003</v>
      </c>
      <c r="DQ83" s="732">
        <v>0.95199999999999996</v>
      </c>
      <c r="DR83" s="733">
        <v>0.97399999999999998</v>
      </c>
      <c r="DS83" s="733">
        <v>0.97400000000000009</v>
      </c>
      <c r="DT83" s="732">
        <f>0.904</f>
        <v>0.90400000000000003</v>
      </c>
      <c r="DU83" s="733">
        <f>90.4/100</f>
        <v>0.90400000000000003</v>
      </c>
      <c r="DV83" s="733">
        <f>90.7/100</f>
        <v>0.90700000000000003</v>
      </c>
      <c r="DW83" s="733">
        <f>90.9/100</f>
        <v>0.90900000000000003</v>
      </c>
      <c r="DX83" s="733">
        <f>91.4/100</f>
        <v>0.91400000000000003</v>
      </c>
      <c r="DY83" s="732">
        <f>95.3/100</f>
        <v>0.95299999999999996</v>
      </c>
      <c r="DZ83" s="733">
        <f>95.3/100</f>
        <v>0.95299999999999996</v>
      </c>
      <c r="EA83" s="733">
        <f>95.3/100</f>
        <v>0.95299999999999996</v>
      </c>
      <c r="EB83" s="732">
        <f>91/100</f>
        <v>0.91</v>
      </c>
      <c r="EC83" s="733">
        <f>93.1/100</f>
        <v>0.93099999999999994</v>
      </c>
      <c r="ED83" s="733">
        <f>94.2/100</f>
        <v>0.94200000000000006</v>
      </c>
      <c r="EE83" s="733">
        <f>95.2/100</f>
        <v>0.95200000000000007</v>
      </c>
      <c r="EF83" s="733">
        <f>95.2/100</f>
        <v>0.95200000000000007</v>
      </c>
      <c r="EG83" s="733">
        <f>95.2/100</f>
        <v>0.95200000000000007</v>
      </c>
      <c r="EH83" s="734">
        <f>95.4/100</f>
        <v>0.95400000000000007</v>
      </c>
    </row>
    <row r="84" spans="1:138" s="7" customFormat="1" ht="25.05" customHeight="1" thickBot="1" x14ac:dyDescent="0.35">
      <c r="A84" s="470"/>
      <c r="B84" s="470"/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471"/>
      <c r="Q84" s="471"/>
      <c r="R84" s="471"/>
      <c r="S84" s="471"/>
      <c r="T84" s="471"/>
      <c r="U84" s="471"/>
      <c r="V84" s="471"/>
      <c r="W84" s="471"/>
      <c r="X84" s="471"/>
      <c r="Y84" s="471"/>
      <c r="Z84" s="471"/>
      <c r="AA84" s="471"/>
      <c r="AB84" s="471"/>
      <c r="AC84" s="471"/>
      <c r="AD84" s="471"/>
    </row>
    <row r="85" spans="1:138" s="55" customFormat="1" ht="15" customHeight="1" thickBot="1" x14ac:dyDescent="0.35">
      <c r="A85" s="115" t="s">
        <v>80</v>
      </c>
      <c r="B85" s="116"/>
      <c r="C85" s="116"/>
      <c r="D85" s="375" t="s">
        <v>80</v>
      </c>
      <c r="E85" s="1013" t="s">
        <v>80</v>
      </c>
      <c r="F85" s="1014"/>
      <c r="G85" s="1014" t="s">
        <v>80</v>
      </c>
      <c r="H85" s="1015"/>
      <c r="I85" s="882" t="s">
        <v>80</v>
      </c>
      <c r="J85" s="883"/>
      <c r="K85" s="883"/>
      <c r="L85" s="883"/>
      <c r="M85" s="883"/>
      <c r="N85" s="883"/>
      <c r="O85" s="884"/>
      <c r="P85" s="882" t="s">
        <v>80</v>
      </c>
      <c r="Q85" s="883"/>
      <c r="R85" s="883"/>
      <c r="S85" s="883"/>
      <c r="T85" s="883"/>
      <c r="U85" s="883"/>
      <c r="V85" s="883"/>
      <c r="W85" s="883"/>
      <c r="X85" s="883"/>
      <c r="Y85" s="883"/>
      <c r="Z85" s="883"/>
      <c r="AA85" s="883"/>
      <c r="AB85" s="883"/>
      <c r="AC85" s="883"/>
      <c r="AD85" s="884"/>
      <c r="AE85" s="882" t="s">
        <v>80</v>
      </c>
      <c r="AF85" s="883"/>
      <c r="AG85" s="883"/>
      <c r="AH85" s="883"/>
      <c r="AI85" s="883"/>
      <c r="AJ85" s="884"/>
      <c r="AK85" s="882" t="s">
        <v>80</v>
      </c>
      <c r="AL85" s="883"/>
      <c r="AM85" s="883"/>
      <c r="AN85" s="883"/>
      <c r="AO85" s="883"/>
      <c r="AP85" s="883"/>
      <c r="AQ85" s="883"/>
      <c r="AR85" s="883"/>
      <c r="AS85" s="883"/>
      <c r="AT85" s="882" t="s">
        <v>80</v>
      </c>
      <c r="AU85" s="883"/>
      <c r="AV85" s="883"/>
      <c r="AW85" s="884"/>
      <c r="AX85" s="882" t="s">
        <v>80</v>
      </c>
      <c r="AY85" s="883"/>
      <c r="AZ85" s="883"/>
      <c r="BA85" s="883"/>
      <c r="BB85" s="883"/>
      <c r="BC85" s="884"/>
    </row>
    <row r="86" spans="1:138" s="47" customFormat="1" ht="40.049999999999997" customHeight="1" thickBot="1" x14ac:dyDescent="0.35">
      <c r="A86" s="1025">
        <f>COUNTA(I86:CA86)</f>
        <v>47</v>
      </c>
      <c r="B86" s="1025"/>
      <c r="C86" s="1026"/>
      <c r="D86" s="262" t="s">
        <v>0</v>
      </c>
      <c r="E86" s="110" t="s">
        <v>31</v>
      </c>
      <c r="F86" s="573" t="s">
        <v>512</v>
      </c>
      <c r="G86" s="111" t="s">
        <v>57</v>
      </c>
      <c r="H86" s="112" t="s">
        <v>58</v>
      </c>
      <c r="I86" s="136" t="s">
        <v>81</v>
      </c>
      <c r="J86" s="154" t="s">
        <v>82</v>
      </c>
      <c r="K86" s="154" t="s">
        <v>83</v>
      </c>
      <c r="L86" s="154" t="s">
        <v>84</v>
      </c>
      <c r="M86" s="154" t="s">
        <v>85</v>
      </c>
      <c r="N86" s="154" t="s">
        <v>86</v>
      </c>
      <c r="O86" s="153" t="s">
        <v>87</v>
      </c>
      <c r="P86" s="136" t="s">
        <v>88</v>
      </c>
      <c r="Q86" s="154" t="s">
        <v>89</v>
      </c>
      <c r="R86" s="154" t="s">
        <v>90</v>
      </c>
      <c r="S86" s="154" t="s">
        <v>674</v>
      </c>
      <c r="T86" s="154" t="s">
        <v>91</v>
      </c>
      <c r="U86" s="154" t="s">
        <v>675</v>
      </c>
      <c r="V86" s="154" t="s">
        <v>92</v>
      </c>
      <c r="W86" s="154" t="s">
        <v>676</v>
      </c>
      <c r="X86" s="154" t="s">
        <v>624</v>
      </c>
      <c r="Y86" s="154" t="s">
        <v>625</v>
      </c>
      <c r="Z86" s="154" t="s">
        <v>93</v>
      </c>
      <c r="AA86" s="154" t="s">
        <v>94</v>
      </c>
      <c r="AB86" s="154" t="s">
        <v>95</v>
      </c>
      <c r="AC86" s="154" t="s">
        <v>96</v>
      </c>
      <c r="AD86" s="153" t="s">
        <v>97</v>
      </c>
      <c r="AE86" s="152" t="s">
        <v>198</v>
      </c>
      <c r="AF86" s="152" t="s">
        <v>199</v>
      </c>
      <c r="AG86" s="152" t="s">
        <v>200</v>
      </c>
      <c r="AH86" s="152" t="s">
        <v>98</v>
      </c>
      <c r="AI86" s="134" t="s">
        <v>99</v>
      </c>
      <c r="AJ86" s="778" t="s">
        <v>100</v>
      </c>
      <c r="AK86" s="806" t="s">
        <v>155</v>
      </c>
      <c r="AL86" s="807" t="s">
        <v>156</v>
      </c>
      <c r="AM86" s="807" t="s">
        <v>157</v>
      </c>
      <c r="AN86" s="39" t="s">
        <v>158</v>
      </c>
      <c r="AO86" s="39" t="s">
        <v>201</v>
      </c>
      <c r="AP86" s="808" t="s">
        <v>868</v>
      </c>
      <c r="AQ86" s="808" t="s">
        <v>869</v>
      </c>
      <c r="AR86" s="808" t="s">
        <v>870</v>
      </c>
      <c r="AS86" s="809" t="s">
        <v>871</v>
      </c>
      <c r="AT86" s="813" t="s">
        <v>872</v>
      </c>
      <c r="AU86" s="791" t="s">
        <v>873</v>
      </c>
      <c r="AV86" s="791" t="s">
        <v>874</v>
      </c>
      <c r="AW86" s="814" t="s">
        <v>875</v>
      </c>
      <c r="AX86" s="813" t="s">
        <v>876</v>
      </c>
      <c r="AY86" s="791" t="s">
        <v>877</v>
      </c>
      <c r="AZ86" s="791" t="s">
        <v>878</v>
      </c>
      <c r="BA86" s="791" t="s">
        <v>879</v>
      </c>
      <c r="BB86" s="791" t="s">
        <v>880</v>
      </c>
      <c r="BC86" s="814" t="s">
        <v>881</v>
      </c>
    </row>
    <row r="87" spans="1:138" s="47" customFormat="1" ht="15" customHeight="1" thickBot="1" x14ac:dyDescent="0.35">
      <c r="A87" s="1027"/>
      <c r="B87" s="1027"/>
      <c r="C87" s="1028"/>
      <c r="D87" s="36" t="s">
        <v>33</v>
      </c>
      <c r="E87" s="971" t="s">
        <v>513</v>
      </c>
      <c r="F87" s="972"/>
      <c r="G87" s="972"/>
      <c r="H87" s="973"/>
      <c r="I87" s="832" t="s">
        <v>29</v>
      </c>
      <c r="J87" s="839"/>
      <c r="K87" s="839"/>
      <c r="L87" s="839"/>
      <c r="M87" s="839"/>
      <c r="N87" s="839"/>
      <c r="O87" s="839"/>
      <c r="P87" s="832" t="s">
        <v>29</v>
      </c>
      <c r="Q87" s="839"/>
      <c r="R87" s="839"/>
      <c r="S87" s="839"/>
      <c r="T87" s="839"/>
      <c r="U87" s="839"/>
      <c r="V87" s="839"/>
      <c r="W87" s="839"/>
      <c r="X87" s="839"/>
      <c r="Y87" s="839"/>
      <c r="Z87" s="839"/>
      <c r="AA87" s="839"/>
      <c r="AB87" s="839"/>
      <c r="AC87" s="839"/>
      <c r="AD87" s="843"/>
      <c r="AE87" s="832" t="s">
        <v>29</v>
      </c>
      <c r="AF87" s="839"/>
      <c r="AG87" s="839"/>
      <c r="AH87" s="839"/>
      <c r="AI87" s="839"/>
      <c r="AJ87" s="839"/>
      <c r="AK87" s="891" t="s">
        <v>29</v>
      </c>
      <c r="AL87" s="892"/>
      <c r="AM87" s="892"/>
      <c r="AN87" s="892"/>
      <c r="AO87" s="892"/>
      <c r="AP87" s="892"/>
      <c r="AQ87" s="892"/>
      <c r="AR87" s="892"/>
      <c r="AS87" s="893"/>
      <c r="AT87" s="897" t="s">
        <v>179</v>
      </c>
      <c r="AU87" s="898"/>
      <c r="AV87" s="898"/>
      <c r="AW87" s="899"/>
      <c r="AX87" s="885" t="s">
        <v>29</v>
      </c>
      <c r="AY87" s="886"/>
      <c r="AZ87" s="886"/>
      <c r="BA87" s="886"/>
      <c r="BB87" s="886"/>
      <c r="BC87" s="887"/>
    </row>
    <row r="88" spans="1:138" s="47" customFormat="1" ht="15" customHeight="1" thickBot="1" x14ac:dyDescent="0.35">
      <c r="A88" s="57" t="s">
        <v>54</v>
      </c>
      <c r="B88" s="74" t="s">
        <v>55</v>
      </c>
      <c r="C88" s="62" t="s">
        <v>1</v>
      </c>
      <c r="D88" s="56" t="s">
        <v>32</v>
      </c>
      <c r="E88" s="971"/>
      <c r="F88" s="972"/>
      <c r="G88" s="972"/>
      <c r="H88" s="973"/>
      <c r="I88" s="962"/>
      <c r="J88" s="963"/>
      <c r="K88" s="963"/>
      <c r="L88" s="963"/>
      <c r="M88" s="963"/>
      <c r="N88" s="963"/>
      <c r="O88" s="963"/>
      <c r="P88" s="834"/>
      <c r="Q88" s="840"/>
      <c r="R88" s="840"/>
      <c r="S88" s="840"/>
      <c r="T88" s="840"/>
      <c r="U88" s="840"/>
      <c r="V88" s="840"/>
      <c r="W88" s="840"/>
      <c r="X88" s="840"/>
      <c r="Y88" s="840"/>
      <c r="Z88" s="840"/>
      <c r="AA88" s="840"/>
      <c r="AB88" s="840"/>
      <c r="AC88" s="840"/>
      <c r="AD88" s="845"/>
      <c r="AE88" s="834"/>
      <c r="AF88" s="840"/>
      <c r="AG88" s="840"/>
      <c r="AH88" s="840"/>
      <c r="AI88" s="840"/>
      <c r="AJ88" s="840"/>
      <c r="AK88" s="894"/>
      <c r="AL88" s="895"/>
      <c r="AM88" s="895"/>
      <c r="AN88" s="895"/>
      <c r="AO88" s="895"/>
      <c r="AP88" s="895"/>
      <c r="AQ88" s="895"/>
      <c r="AR88" s="895"/>
      <c r="AS88" s="896"/>
      <c r="AT88" s="900"/>
      <c r="AU88" s="901"/>
      <c r="AV88" s="901"/>
      <c r="AW88" s="902"/>
      <c r="AX88" s="888"/>
      <c r="AY88" s="889"/>
      <c r="AZ88" s="889"/>
      <c r="BA88" s="889"/>
      <c r="BB88" s="889"/>
      <c r="BC88" s="890"/>
    </row>
    <row r="89" spans="1:138" s="47" customFormat="1" ht="15" customHeight="1" x14ac:dyDescent="0.3">
      <c r="A89" s="46" t="s">
        <v>5</v>
      </c>
      <c r="B89" s="60" t="s">
        <v>21</v>
      </c>
      <c r="C89" s="8" t="s">
        <v>69</v>
      </c>
      <c r="D89" s="522" t="s">
        <v>52</v>
      </c>
      <c r="E89" s="99">
        <f t="shared" ref="E89:E98" si="19">AVERAGE(I89:BY89)</f>
        <v>112.46382978723406</v>
      </c>
      <c r="F89" s="100">
        <f t="shared" ref="F89:F98" si="20">AVEDEV(I89:BY89)</f>
        <v>92.086917157084656</v>
      </c>
      <c r="G89" s="100">
        <f t="shared" ref="G89:G98" si="21">MIN(I89:BY89)</f>
        <v>9.9</v>
      </c>
      <c r="H89" s="376">
        <f t="shared" ref="H89:H98" si="22">MAX(I89:BY89)</f>
        <v>400</v>
      </c>
      <c r="I89" s="34">
        <v>9.9</v>
      </c>
      <c r="J89" s="35">
        <v>15</v>
      </c>
      <c r="K89" s="35">
        <v>21</v>
      </c>
      <c r="L89" s="35">
        <v>25.9</v>
      </c>
      <c r="M89" s="35">
        <v>35</v>
      </c>
      <c r="N89" s="35">
        <v>45</v>
      </c>
      <c r="O89" s="42">
        <v>60</v>
      </c>
      <c r="P89" s="34">
        <v>26</v>
      </c>
      <c r="Q89" s="35">
        <v>35</v>
      </c>
      <c r="R89" s="35">
        <v>50</v>
      </c>
      <c r="S89" s="35">
        <v>50</v>
      </c>
      <c r="T89" s="35">
        <v>65</v>
      </c>
      <c r="U89" s="35">
        <v>65</v>
      </c>
      <c r="V89" s="35">
        <v>80</v>
      </c>
      <c r="W89" s="35">
        <v>80</v>
      </c>
      <c r="X89" s="35">
        <v>95</v>
      </c>
      <c r="Y89" s="35">
        <v>95</v>
      </c>
      <c r="Z89" s="35">
        <v>100</v>
      </c>
      <c r="AA89" s="35">
        <v>105</v>
      </c>
      <c r="AB89" s="35">
        <v>115</v>
      </c>
      <c r="AC89" s="35">
        <v>150</v>
      </c>
      <c r="AD89" s="42">
        <v>200</v>
      </c>
      <c r="AE89" s="128">
        <v>175</v>
      </c>
      <c r="AF89" s="133">
        <v>200</v>
      </c>
      <c r="AG89" s="133">
        <v>240</v>
      </c>
      <c r="AH89" s="35">
        <v>328</v>
      </c>
      <c r="AI89" s="35">
        <v>350</v>
      </c>
      <c r="AJ89" s="42">
        <v>400</v>
      </c>
      <c r="AK89" s="804">
        <v>10.5</v>
      </c>
      <c r="AL89" s="805">
        <v>15</v>
      </c>
      <c r="AM89" s="805">
        <v>21</v>
      </c>
      <c r="AN89" s="805">
        <v>25.9</v>
      </c>
      <c r="AO89" s="805">
        <v>32.5</v>
      </c>
      <c r="AP89" s="793">
        <v>38</v>
      </c>
      <c r="AQ89" s="793">
        <v>45</v>
      </c>
      <c r="AR89" s="793">
        <v>49.9</v>
      </c>
      <c r="AS89" s="810">
        <v>63</v>
      </c>
      <c r="AT89" s="792">
        <v>10.5</v>
      </c>
      <c r="AU89" s="793">
        <v>15.9</v>
      </c>
      <c r="AV89" s="793">
        <v>22.3</v>
      </c>
      <c r="AW89" s="794">
        <v>27.5</v>
      </c>
      <c r="AX89" s="128">
        <v>175</v>
      </c>
      <c r="AY89" s="133">
        <v>200</v>
      </c>
      <c r="AZ89" s="133">
        <v>240</v>
      </c>
      <c r="BA89" s="35">
        <v>328</v>
      </c>
      <c r="BB89" s="35">
        <v>350</v>
      </c>
      <c r="BC89" s="43">
        <v>400</v>
      </c>
    </row>
    <row r="90" spans="1:138" s="47" customFormat="1" ht="15" customHeight="1" x14ac:dyDescent="0.3">
      <c r="A90" s="50" t="s">
        <v>6</v>
      </c>
      <c r="B90" s="44" t="s">
        <v>22</v>
      </c>
      <c r="C90" s="9" t="s">
        <v>70</v>
      </c>
      <c r="D90" s="523" t="s">
        <v>52</v>
      </c>
      <c r="E90" s="101">
        <f t="shared" si="19"/>
        <v>1.6017021276595753E-2</v>
      </c>
      <c r="F90" s="97">
        <f t="shared" si="20"/>
        <v>6.6678134902670941E-3</v>
      </c>
      <c r="G90" s="97">
        <f t="shared" si="21"/>
        <v>8.0000000000000002E-3</v>
      </c>
      <c r="H90" s="377">
        <f t="shared" si="22"/>
        <v>4.1000000000000002E-2</v>
      </c>
      <c r="I90" s="139">
        <v>4.1000000000000002E-2</v>
      </c>
      <c r="J90" s="140">
        <v>3.2000000000000001E-2</v>
      </c>
      <c r="K90" s="140">
        <v>1.9E-2</v>
      </c>
      <c r="L90" s="140">
        <v>1.9E-2</v>
      </c>
      <c r="M90" s="140">
        <v>3.2000000000000001E-2</v>
      </c>
      <c r="N90" s="140">
        <v>3.2000000000000001E-2</v>
      </c>
      <c r="O90" s="150">
        <v>0.02</v>
      </c>
      <c r="P90" s="139">
        <v>2.3E-2</v>
      </c>
      <c r="Q90" s="140">
        <v>2.1000000000000001E-2</v>
      </c>
      <c r="R90" s="140">
        <v>1.14E-2</v>
      </c>
      <c r="S90" s="140">
        <v>1.14E-2</v>
      </c>
      <c r="T90" s="140">
        <v>1.0999999999999999E-2</v>
      </c>
      <c r="U90" s="140">
        <v>1.0999999999999999E-2</v>
      </c>
      <c r="V90" s="140">
        <v>0.01</v>
      </c>
      <c r="W90" s="140">
        <v>0.01</v>
      </c>
      <c r="X90" s="140">
        <v>0.01</v>
      </c>
      <c r="Y90" s="140">
        <v>0.01</v>
      </c>
      <c r="Z90" s="140">
        <v>1.2999999999999999E-2</v>
      </c>
      <c r="AA90" s="140">
        <v>1.2999999999999999E-2</v>
      </c>
      <c r="AB90" s="140">
        <v>1.2999999999999999E-2</v>
      </c>
      <c r="AC90" s="140">
        <v>1.2E-2</v>
      </c>
      <c r="AD90" s="150">
        <v>0.01</v>
      </c>
      <c r="AE90" s="139">
        <v>1.0999999999999999E-2</v>
      </c>
      <c r="AF90" s="140">
        <v>0.01</v>
      </c>
      <c r="AG90" s="480">
        <v>9.4999999999999998E-3</v>
      </c>
      <c r="AH90" s="140">
        <v>8.0000000000000002E-3</v>
      </c>
      <c r="AI90" s="140">
        <v>8.0000000000000002E-3</v>
      </c>
      <c r="AJ90" s="150">
        <v>8.0000000000000002E-3</v>
      </c>
      <c r="AK90" s="85">
        <v>3.4000000000000002E-2</v>
      </c>
      <c r="AL90" s="77">
        <v>2.9000000000000001E-2</v>
      </c>
      <c r="AM90" s="77">
        <v>2.5000000000000001E-2</v>
      </c>
      <c r="AN90" s="77">
        <v>2.3E-2</v>
      </c>
      <c r="AO90" s="77">
        <v>2.1000000000000001E-2</v>
      </c>
      <c r="AP90" s="796">
        <v>0.02</v>
      </c>
      <c r="AQ90" s="796">
        <v>1.9E-2</v>
      </c>
      <c r="AR90" s="796">
        <v>1.7999999999999999E-2</v>
      </c>
      <c r="AS90" s="811">
        <v>1.6E-2</v>
      </c>
      <c r="AT90" s="795">
        <v>1.7000000000000001E-2</v>
      </c>
      <c r="AU90" s="796">
        <v>1.4E-2</v>
      </c>
      <c r="AV90" s="796">
        <v>1.2E-2</v>
      </c>
      <c r="AW90" s="797">
        <v>1.0999999999999999E-2</v>
      </c>
      <c r="AX90" s="139">
        <v>1.0999999999999999E-2</v>
      </c>
      <c r="AY90" s="140">
        <v>0.01</v>
      </c>
      <c r="AZ90" s="480">
        <v>9.4999999999999998E-3</v>
      </c>
      <c r="BA90" s="140">
        <v>8.0000000000000002E-3</v>
      </c>
      <c r="BB90" s="140">
        <v>8.0000000000000002E-3</v>
      </c>
      <c r="BC90" s="224">
        <v>8.0000000000000002E-3</v>
      </c>
    </row>
    <row r="91" spans="1:138" s="47" customFormat="1" ht="15" customHeight="1" x14ac:dyDescent="0.3">
      <c r="A91" s="50" t="s">
        <v>64</v>
      </c>
      <c r="B91" s="59" t="s">
        <v>23</v>
      </c>
      <c r="C91" s="9" t="s">
        <v>70</v>
      </c>
      <c r="D91" s="523" t="s">
        <v>61</v>
      </c>
      <c r="E91" s="102">
        <f t="shared" si="19"/>
        <v>0.30000000000000027</v>
      </c>
      <c r="F91" s="98">
        <f t="shared" si="20"/>
        <v>2.7755575615628914E-16</v>
      </c>
      <c r="G91" s="98">
        <f t="shared" si="21"/>
        <v>0.3</v>
      </c>
      <c r="H91" s="378">
        <f t="shared" si="22"/>
        <v>0.3</v>
      </c>
      <c r="I91" s="107">
        <v>0.3</v>
      </c>
      <c r="J91" s="79">
        <v>0.3</v>
      </c>
      <c r="K91" s="79">
        <v>0.3</v>
      </c>
      <c r="L91" s="79">
        <v>0.3</v>
      </c>
      <c r="M91" s="79">
        <v>0.3</v>
      </c>
      <c r="N91" s="79">
        <v>0.3</v>
      </c>
      <c r="O91" s="218">
        <v>0.3</v>
      </c>
      <c r="P91" s="107">
        <v>0.3</v>
      </c>
      <c r="Q91" s="79">
        <v>0.3</v>
      </c>
      <c r="R91" s="79">
        <v>0.3</v>
      </c>
      <c r="S91" s="79">
        <v>0.3</v>
      </c>
      <c r="T91" s="79">
        <v>0.3</v>
      </c>
      <c r="U91" s="79">
        <v>0.3</v>
      </c>
      <c r="V91" s="79">
        <v>0.3</v>
      </c>
      <c r="W91" s="79">
        <v>0.3</v>
      </c>
      <c r="X91" s="79">
        <v>0.3</v>
      </c>
      <c r="Y91" s="79">
        <v>0.3</v>
      </c>
      <c r="Z91" s="79">
        <v>0.3</v>
      </c>
      <c r="AA91" s="79">
        <v>0.3</v>
      </c>
      <c r="AB91" s="79">
        <v>0.3</v>
      </c>
      <c r="AC91" s="79">
        <v>0.3</v>
      </c>
      <c r="AD91" s="218">
        <v>0.3</v>
      </c>
      <c r="AE91" s="481">
        <v>0.3</v>
      </c>
      <c r="AF91" s="127">
        <v>0.3</v>
      </c>
      <c r="AG91" s="127">
        <v>0.3</v>
      </c>
      <c r="AH91" s="79">
        <v>0.3</v>
      </c>
      <c r="AI91" s="79">
        <v>0.3</v>
      </c>
      <c r="AJ91" s="218">
        <v>0.3</v>
      </c>
      <c r="AK91" s="482">
        <v>0.3</v>
      </c>
      <c r="AL91" s="483">
        <v>0.3</v>
      </c>
      <c r="AM91" s="483">
        <v>0.3</v>
      </c>
      <c r="AN91" s="483">
        <v>0.3</v>
      </c>
      <c r="AO91" s="803">
        <v>0.3</v>
      </c>
      <c r="AP91" s="796">
        <v>0.3</v>
      </c>
      <c r="AQ91" s="796">
        <v>0.3</v>
      </c>
      <c r="AR91" s="796">
        <v>0.3</v>
      </c>
      <c r="AS91" s="811">
        <v>0.3</v>
      </c>
      <c r="AT91" s="795">
        <v>0.3</v>
      </c>
      <c r="AU91" s="796">
        <v>0.3</v>
      </c>
      <c r="AV91" s="796">
        <v>0.3</v>
      </c>
      <c r="AW91" s="797">
        <v>0.3</v>
      </c>
      <c r="AX91" s="481">
        <v>0.3</v>
      </c>
      <c r="AY91" s="127">
        <v>0.3</v>
      </c>
      <c r="AZ91" s="127">
        <v>0.3</v>
      </c>
      <c r="BA91" s="79">
        <v>0.3</v>
      </c>
      <c r="BB91" s="79">
        <v>0.3</v>
      </c>
      <c r="BC91" s="81">
        <v>0.3</v>
      </c>
    </row>
    <row r="92" spans="1:138" s="47" customFormat="1" ht="15" customHeight="1" x14ac:dyDescent="0.3">
      <c r="A92" s="50" t="s">
        <v>3</v>
      </c>
      <c r="B92" s="44" t="s">
        <v>278</v>
      </c>
      <c r="C92" s="9" t="s">
        <v>71</v>
      </c>
      <c r="D92" s="523" t="s">
        <v>52</v>
      </c>
      <c r="E92" s="103">
        <f t="shared" si="19"/>
        <v>74.684090909090912</v>
      </c>
      <c r="F92" s="96">
        <f t="shared" si="20"/>
        <v>4.5037190082644623</v>
      </c>
      <c r="G92" s="96">
        <f t="shared" si="21"/>
        <v>60.5</v>
      </c>
      <c r="H92" s="379">
        <f t="shared" si="22"/>
        <v>84.1</v>
      </c>
      <c r="I92" s="147">
        <v>72.599999999999994</v>
      </c>
      <c r="J92" s="144">
        <v>72.900000000000006</v>
      </c>
      <c r="K92" s="144">
        <v>73.900000000000006</v>
      </c>
      <c r="L92" s="144">
        <v>74.400000000000006</v>
      </c>
      <c r="M92" s="144">
        <v>70.900000000000006</v>
      </c>
      <c r="N92" s="144">
        <v>71.7</v>
      </c>
      <c r="O92" s="149">
        <v>72.8</v>
      </c>
      <c r="P92" s="147">
        <v>81.2</v>
      </c>
      <c r="Q92" s="144">
        <v>78.8</v>
      </c>
      <c r="R92" s="144">
        <v>84.1</v>
      </c>
      <c r="S92" s="144">
        <v>84.1</v>
      </c>
      <c r="T92" s="144">
        <v>77.8</v>
      </c>
      <c r="U92" s="144"/>
      <c r="V92" s="144">
        <v>79.3</v>
      </c>
      <c r="W92" s="144"/>
      <c r="X92" s="144">
        <v>75.5</v>
      </c>
      <c r="Y92" s="144"/>
      <c r="Z92" s="144">
        <v>80.400000000000006</v>
      </c>
      <c r="AA92" s="144">
        <v>80.400000000000006</v>
      </c>
      <c r="AB92" s="144">
        <v>80.400000000000006</v>
      </c>
      <c r="AC92" s="144">
        <v>81.2</v>
      </c>
      <c r="AD92" s="149">
        <v>81.900000000000006</v>
      </c>
      <c r="AE92" s="147">
        <v>76.2</v>
      </c>
      <c r="AF92" s="137">
        <v>76</v>
      </c>
      <c r="AG92" s="144">
        <v>75.7</v>
      </c>
      <c r="AH92" s="144">
        <v>78.3</v>
      </c>
      <c r="AI92" s="144">
        <v>78.400000000000006</v>
      </c>
      <c r="AJ92" s="149">
        <v>78.599999999999994</v>
      </c>
      <c r="AK92" s="285">
        <v>71.2</v>
      </c>
      <c r="AL92" s="289">
        <v>70.599999999999994</v>
      </c>
      <c r="AM92" s="289">
        <v>70.5</v>
      </c>
      <c r="AN92" s="289">
        <v>70.5</v>
      </c>
      <c r="AO92" s="6">
        <v>73</v>
      </c>
      <c r="AP92" s="796">
        <v>71.3</v>
      </c>
      <c r="AQ92" s="796">
        <v>71.2</v>
      </c>
      <c r="AR92" s="796">
        <v>71.2</v>
      </c>
      <c r="AS92" s="811">
        <v>71.099999999999994</v>
      </c>
      <c r="AT92" s="795">
        <v>62</v>
      </c>
      <c r="AU92" s="796">
        <v>61.4</v>
      </c>
      <c r="AV92" s="796">
        <v>60.9</v>
      </c>
      <c r="AW92" s="797">
        <v>60.5</v>
      </c>
      <c r="AX92" s="147">
        <v>76.2</v>
      </c>
      <c r="AY92" s="137">
        <v>76</v>
      </c>
      <c r="AZ92" s="144">
        <v>75.7</v>
      </c>
      <c r="BA92" s="144">
        <v>78.3</v>
      </c>
      <c r="BB92" s="144">
        <v>78.400000000000006</v>
      </c>
      <c r="BC92" s="146">
        <v>78.599999999999994</v>
      </c>
    </row>
    <row r="93" spans="1:138" s="47" customFormat="1" ht="15" customHeight="1" x14ac:dyDescent="0.3">
      <c r="A93" s="50" t="s">
        <v>4</v>
      </c>
      <c r="B93" s="44" t="s">
        <v>153</v>
      </c>
      <c r="C93" s="9" t="s">
        <v>71</v>
      </c>
      <c r="D93" s="523" t="s">
        <v>52</v>
      </c>
      <c r="E93" s="103">
        <f t="shared" si="19"/>
        <v>74.597727272727283</v>
      </c>
      <c r="F93" s="96">
        <f t="shared" si="20"/>
        <v>6.1888429752066116</v>
      </c>
      <c r="G93" s="96">
        <f t="shared" si="21"/>
        <v>61.5</v>
      </c>
      <c r="H93" s="379">
        <f t="shared" si="22"/>
        <v>84.4</v>
      </c>
      <c r="I93" s="142">
        <v>70.7</v>
      </c>
      <c r="J93" s="137">
        <v>71.2</v>
      </c>
      <c r="K93" s="137">
        <v>72.099999999999994</v>
      </c>
      <c r="L93" s="137">
        <v>72.8</v>
      </c>
      <c r="M93" s="137">
        <v>72.8</v>
      </c>
      <c r="N93" s="137">
        <v>72.3</v>
      </c>
      <c r="O93" s="151">
        <v>71.5</v>
      </c>
      <c r="P93" s="142">
        <v>80.3</v>
      </c>
      <c r="Q93" s="137">
        <v>80.3</v>
      </c>
      <c r="R93" s="137">
        <v>84.4</v>
      </c>
      <c r="S93" s="137">
        <v>84.4</v>
      </c>
      <c r="T93" s="137">
        <v>77.7</v>
      </c>
      <c r="U93" s="137"/>
      <c r="V93" s="137">
        <v>79</v>
      </c>
      <c r="W93" s="137"/>
      <c r="X93" s="137">
        <v>73.8</v>
      </c>
      <c r="Y93" s="137"/>
      <c r="Z93" s="137">
        <v>81.099999999999994</v>
      </c>
      <c r="AA93" s="137">
        <v>81.099999999999994</v>
      </c>
      <c r="AB93" s="137">
        <v>81.099999999999994</v>
      </c>
      <c r="AC93" s="137">
        <v>80.8</v>
      </c>
      <c r="AD93" s="151">
        <v>80.400000000000006</v>
      </c>
      <c r="AE93" s="142">
        <v>79.900000000000006</v>
      </c>
      <c r="AF93" s="137">
        <v>79.900000000000006</v>
      </c>
      <c r="AG93" s="137">
        <v>79.900000000000006</v>
      </c>
      <c r="AH93" s="137">
        <v>80.3</v>
      </c>
      <c r="AI93" s="137">
        <v>80.3</v>
      </c>
      <c r="AJ93" s="151">
        <v>80.3</v>
      </c>
      <c r="AK93" s="484">
        <v>62.1</v>
      </c>
      <c r="AL93" s="6">
        <v>62.1</v>
      </c>
      <c r="AM93" s="6">
        <v>61.7</v>
      </c>
      <c r="AN93" s="6">
        <v>61.5</v>
      </c>
      <c r="AO93" s="6">
        <v>74.7</v>
      </c>
      <c r="AP93" s="796">
        <v>70.8</v>
      </c>
      <c r="AQ93" s="796">
        <v>70.900000000000006</v>
      </c>
      <c r="AR93" s="798">
        <v>71</v>
      </c>
      <c r="AS93" s="811">
        <v>71.099999999999994</v>
      </c>
      <c r="AT93" s="795">
        <v>62.1</v>
      </c>
      <c r="AU93" s="796">
        <v>62.1</v>
      </c>
      <c r="AV93" s="798">
        <v>61.7</v>
      </c>
      <c r="AW93" s="797">
        <v>61.5</v>
      </c>
      <c r="AX93" s="142">
        <v>79.900000000000006</v>
      </c>
      <c r="AY93" s="137">
        <v>79.900000000000006</v>
      </c>
      <c r="AZ93" s="137">
        <v>79.900000000000006</v>
      </c>
      <c r="BA93" s="137">
        <v>80.3</v>
      </c>
      <c r="BB93" s="137">
        <v>80.3</v>
      </c>
      <c r="BC93" s="221">
        <v>80.3</v>
      </c>
    </row>
    <row r="94" spans="1:138" s="47" customFormat="1" ht="15" customHeight="1" x14ac:dyDescent="0.3">
      <c r="A94" s="50" t="s">
        <v>59</v>
      </c>
      <c r="B94" s="44" t="s">
        <v>26</v>
      </c>
      <c r="C94" s="9" t="s">
        <v>69</v>
      </c>
      <c r="D94" s="523" t="s">
        <v>52</v>
      </c>
      <c r="E94" s="101">
        <f t="shared" si="19"/>
        <v>0.26957446808510632</v>
      </c>
      <c r="F94" s="97">
        <f t="shared" si="20"/>
        <v>0.1918153010411951</v>
      </c>
      <c r="G94" s="97">
        <f t="shared" si="21"/>
        <v>2.5000000000000001E-2</v>
      </c>
      <c r="H94" s="377">
        <f t="shared" si="22"/>
        <v>0.94399999999999995</v>
      </c>
      <c r="I94" s="139">
        <v>4.5999999999999999E-2</v>
      </c>
      <c r="J94" s="140">
        <v>5.8000000000000003E-2</v>
      </c>
      <c r="K94" s="140">
        <v>0.09</v>
      </c>
      <c r="L94" s="140">
        <v>0.11</v>
      </c>
      <c r="M94" s="140">
        <v>0.10299999999999999</v>
      </c>
      <c r="N94" s="140">
        <v>0.122</v>
      </c>
      <c r="O94" s="150">
        <v>0.156</v>
      </c>
      <c r="P94" s="139">
        <v>0.13300000000000001</v>
      </c>
      <c r="Q94" s="140">
        <v>0.13900000000000001</v>
      </c>
      <c r="R94" s="140">
        <v>0.20499999999999999</v>
      </c>
      <c r="S94" s="140">
        <v>0.28999999999999998</v>
      </c>
      <c r="T94" s="140">
        <v>0.20799999999999999</v>
      </c>
      <c r="U94" s="140">
        <v>0.29299999999999998</v>
      </c>
      <c r="V94" s="140">
        <v>0.21099999999999999</v>
      </c>
      <c r="W94" s="140">
        <v>0.29599999999999999</v>
      </c>
      <c r="X94" s="140">
        <v>0.215</v>
      </c>
      <c r="Y94" s="140">
        <v>0.29899999999999999</v>
      </c>
      <c r="Z94" s="140">
        <v>0.23300000000000001</v>
      </c>
      <c r="AA94" s="140">
        <v>0.247</v>
      </c>
      <c r="AB94" s="140">
        <v>0.26300000000000001</v>
      </c>
      <c r="AC94" s="140">
        <v>0.35699999999999998</v>
      </c>
      <c r="AD94" s="150">
        <v>0.38900000000000001</v>
      </c>
      <c r="AE94" s="147">
        <v>0.28599999999999998</v>
      </c>
      <c r="AF94" s="144">
        <v>0.36299999999999999</v>
      </c>
      <c r="AG94" s="144">
        <v>0.48499999999999999</v>
      </c>
      <c r="AH94" s="140">
        <v>0.63100000000000001</v>
      </c>
      <c r="AI94" s="140">
        <v>0.749</v>
      </c>
      <c r="AJ94" s="150">
        <v>0.89400000000000002</v>
      </c>
      <c r="AK94" s="85">
        <v>3.4000000000000002E-2</v>
      </c>
      <c r="AL94" s="77">
        <v>3.9E-2</v>
      </c>
      <c r="AM94" s="77">
        <v>4.7E-2</v>
      </c>
      <c r="AN94" s="77">
        <v>5.2999999999999999E-2</v>
      </c>
      <c r="AO94" s="77">
        <v>6.4000000000000001E-2</v>
      </c>
      <c r="AP94" s="796">
        <v>7.4999999999999997E-2</v>
      </c>
      <c r="AQ94" s="799">
        <v>0.08</v>
      </c>
      <c r="AR94" s="796">
        <v>8.5000000000000006E-2</v>
      </c>
      <c r="AS94" s="811">
        <v>9.8000000000000004E-2</v>
      </c>
      <c r="AT94" s="795">
        <v>2.5000000000000001E-2</v>
      </c>
      <c r="AU94" s="799">
        <v>4.1000000000000002E-2</v>
      </c>
      <c r="AV94" s="796">
        <v>5.8000000000000003E-2</v>
      </c>
      <c r="AW94" s="797">
        <v>7.1999999999999995E-2</v>
      </c>
      <c r="AX94" s="147">
        <v>0.32600000000000001</v>
      </c>
      <c r="AY94" s="144">
        <v>0.40400000000000003</v>
      </c>
      <c r="AZ94" s="140">
        <v>0.53</v>
      </c>
      <c r="BA94" s="140">
        <v>0.90600000000000003</v>
      </c>
      <c r="BB94" s="140">
        <v>0.91800000000000004</v>
      </c>
      <c r="BC94" s="224">
        <v>0.94399999999999995</v>
      </c>
    </row>
    <row r="95" spans="1:138" s="47" customFormat="1" ht="15" customHeight="1" x14ac:dyDescent="0.3">
      <c r="A95" s="50" t="s">
        <v>51</v>
      </c>
      <c r="B95" s="44" t="s">
        <v>27</v>
      </c>
      <c r="C95" s="9" t="s">
        <v>69</v>
      </c>
      <c r="D95" s="523" t="s">
        <v>52</v>
      </c>
      <c r="E95" s="101">
        <f t="shared" si="19"/>
        <v>0.15651914893617017</v>
      </c>
      <c r="F95" s="97">
        <f t="shared" si="20"/>
        <v>0.12483965595291985</v>
      </c>
      <c r="G95" s="97">
        <f t="shared" si="21"/>
        <v>1.7999999999999999E-2</v>
      </c>
      <c r="H95" s="377">
        <f t="shared" si="22"/>
        <v>0.65300000000000002</v>
      </c>
      <c r="I95" s="16">
        <v>2.7400000000000001E-2</v>
      </c>
      <c r="J95" s="140">
        <v>3.2000000000000001E-2</v>
      </c>
      <c r="K95" s="140">
        <v>4.1000000000000002E-2</v>
      </c>
      <c r="L95" s="140">
        <v>4.7E-2</v>
      </c>
      <c r="M95" s="140">
        <v>4.2999999999999997E-2</v>
      </c>
      <c r="N95" s="140">
        <v>5.0999999999999997E-2</v>
      </c>
      <c r="O95" s="150">
        <v>6.3E-2</v>
      </c>
      <c r="P95" s="139">
        <v>8.8999999999999996E-2</v>
      </c>
      <c r="Q95" s="140">
        <v>9.2999999999999999E-2</v>
      </c>
      <c r="R95" s="140">
        <v>0.1</v>
      </c>
      <c r="S95" s="140">
        <v>0.185</v>
      </c>
      <c r="T95" s="140">
        <v>0.10299999999999999</v>
      </c>
      <c r="U95" s="140">
        <v>0.188</v>
      </c>
      <c r="V95" s="140">
        <v>0.106</v>
      </c>
      <c r="W95" s="140">
        <v>0.109</v>
      </c>
      <c r="X95" s="140">
        <v>0.11</v>
      </c>
      <c r="Y95" s="140">
        <v>0.112</v>
      </c>
      <c r="Z95" s="140">
        <v>0.13800000000000001</v>
      </c>
      <c r="AA95" s="140">
        <v>0.14499999999999999</v>
      </c>
      <c r="AB95" s="140">
        <v>0.17699999999999999</v>
      </c>
      <c r="AC95" s="140">
        <v>0.189</v>
      </c>
      <c r="AD95" s="150">
        <v>0.26300000000000001</v>
      </c>
      <c r="AE95" s="147">
        <v>0.14599999999999999</v>
      </c>
      <c r="AF95" s="144">
        <v>0.14599999999999999</v>
      </c>
      <c r="AG95" s="144">
        <v>0.14599999999999999</v>
      </c>
      <c r="AH95" s="140">
        <v>0.52600000000000002</v>
      </c>
      <c r="AI95" s="140">
        <v>0.61099999999999999</v>
      </c>
      <c r="AJ95" s="150">
        <v>0.65300000000000002</v>
      </c>
      <c r="AK95" s="485">
        <v>1.7999999999999999E-2</v>
      </c>
      <c r="AL95" s="77">
        <v>0.02</v>
      </c>
      <c r="AM95" s="77">
        <v>2.3E-2</v>
      </c>
      <c r="AN95" s="77">
        <v>2.5999999999999999E-2</v>
      </c>
      <c r="AO95" s="77">
        <v>2.9000000000000001E-2</v>
      </c>
      <c r="AP95" s="796">
        <v>3.1E-2</v>
      </c>
      <c r="AQ95" s="796">
        <v>3.6999999999999998E-2</v>
      </c>
      <c r="AR95" s="799">
        <v>0.04</v>
      </c>
      <c r="AS95" s="811">
        <v>4.8000000000000001E-2</v>
      </c>
      <c r="AT95" s="795">
        <v>0.02</v>
      </c>
      <c r="AU95" s="796">
        <v>0.02</v>
      </c>
      <c r="AV95" s="799">
        <v>3.1E-2</v>
      </c>
      <c r="AW95" s="797">
        <v>4.1000000000000002E-2</v>
      </c>
      <c r="AX95" s="147">
        <v>0.18099999999999999</v>
      </c>
      <c r="AY95" s="144">
        <v>0.18099999999999999</v>
      </c>
      <c r="AZ95" s="144">
        <v>0.18099999999999999</v>
      </c>
      <c r="BA95" s="140">
        <v>0.52600000000000002</v>
      </c>
      <c r="BB95" s="140">
        <v>0.61099999999999999</v>
      </c>
      <c r="BC95" s="224">
        <v>0.65300000000000002</v>
      </c>
    </row>
    <row r="96" spans="1:138" s="47" customFormat="1" ht="15" customHeight="1" x14ac:dyDescent="0.3">
      <c r="A96" s="52" t="s">
        <v>60</v>
      </c>
      <c r="B96" s="59" t="s">
        <v>28</v>
      </c>
      <c r="C96" s="9" t="s">
        <v>69</v>
      </c>
      <c r="D96" s="523" t="s">
        <v>52</v>
      </c>
      <c r="E96" s="101">
        <f t="shared" si="19"/>
        <v>2.7446808510638299E-2</v>
      </c>
      <c r="F96" s="97">
        <f t="shared" si="20"/>
        <v>2.0570393843368031E-2</v>
      </c>
      <c r="G96" s="97">
        <f t="shared" si="21"/>
        <v>7.0000000000000001E-3</v>
      </c>
      <c r="H96" s="377">
        <f t="shared" si="22"/>
        <v>6.5000000000000002E-2</v>
      </c>
      <c r="I96" s="16">
        <v>7.0000000000000001E-3</v>
      </c>
      <c r="J96" s="17">
        <v>7.0000000000000001E-3</v>
      </c>
      <c r="K96" s="17">
        <v>7.0000000000000001E-3</v>
      </c>
      <c r="L96" s="17">
        <v>7.0000000000000001E-3</v>
      </c>
      <c r="M96" s="17">
        <v>7.0000000000000001E-3</v>
      </c>
      <c r="N96" s="127">
        <v>7.0000000000000001E-3</v>
      </c>
      <c r="O96" s="486">
        <v>7.0000000000000001E-3</v>
      </c>
      <c r="P96" s="16">
        <v>2.7E-2</v>
      </c>
      <c r="Q96" s="17">
        <v>2.7E-2</v>
      </c>
      <c r="R96" s="17">
        <v>1.4999999999999999E-2</v>
      </c>
      <c r="S96" s="17">
        <v>1.4999999999999999E-2</v>
      </c>
      <c r="T96" s="17">
        <v>1.4999999999999999E-2</v>
      </c>
      <c r="U96" s="17">
        <v>1.4999999999999999E-2</v>
      </c>
      <c r="V96" s="17">
        <v>1.4999999999999999E-2</v>
      </c>
      <c r="W96" s="17">
        <v>1.4999999999999999E-2</v>
      </c>
      <c r="X96" s="17">
        <v>1.4999999999999999E-2</v>
      </c>
      <c r="Y96" s="17">
        <v>1.4999999999999999E-2</v>
      </c>
      <c r="Z96" s="17">
        <v>3.4000000000000002E-2</v>
      </c>
      <c r="AA96" s="17">
        <v>3.4000000000000002E-2</v>
      </c>
      <c r="AB96" s="17">
        <v>3.4000000000000002E-2</v>
      </c>
      <c r="AC96" s="17">
        <v>3.4000000000000002E-2</v>
      </c>
      <c r="AD96" s="242">
        <v>3.4000000000000002E-2</v>
      </c>
      <c r="AE96" s="16">
        <v>6.5000000000000002E-2</v>
      </c>
      <c r="AF96" s="17">
        <v>6.5000000000000002E-2</v>
      </c>
      <c r="AG96" s="17">
        <v>6.5000000000000002E-2</v>
      </c>
      <c r="AH96" s="17">
        <v>6.5000000000000002E-2</v>
      </c>
      <c r="AI96" s="17">
        <v>6.5000000000000002E-2</v>
      </c>
      <c r="AJ96" s="242">
        <v>6.5000000000000002E-2</v>
      </c>
      <c r="AK96" s="485">
        <v>8.9999999999999993E-3</v>
      </c>
      <c r="AL96" s="487">
        <v>8.9999999999999993E-3</v>
      </c>
      <c r="AM96" s="487">
        <v>8.9999999999999993E-3</v>
      </c>
      <c r="AN96" s="487">
        <v>8.9999999999999993E-3</v>
      </c>
      <c r="AO96" s="487">
        <v>8.9999999999999993E-3</v>
      </c>
      <c r="AP96" s="796">
        <v>8.9999999999999993E-3</v>
      </c>
      <c r="AQ96" s="796">
        <v>8.9999999999999993E-3</v>
      </c>
      <c r="AR96" s="796">
        <v>8.9999999999999993E-3</v>
      </c>
      <c r="AS96" s="811">
        <v>8.9999999999999993E-3</v>
      </c>
      <c r="AT96" s="795">
        <v>8.9999999999999993E-3</v>
      </c>
      <c r="AU96" s="796">
        <v>8.9999999999999993E-3</v>
      </c>
      <c r="AV96" s="796">
        <v>8.9999999999999993E-3</v>
      </c>
      <c r="AW96" s="797">
        <v>8.9999999999999993E-3</v>
      </c>
      <c r="AX96" s="16">
        <v>6.5000000000000002E-2</v>
      </c>
      <c r="AY96" s="17">
        <v>6.5000000000000002E-2</v>
      </c>
      <c r="AZ96" s="17">
        <v>6.5000000000000002E-2</v>
      </c>
      <c r="BA96" s="17">
        <v>6.5000000000000002E-2</v>
      </c>
      <c r="BB96" s="17">
        <v>6.5000000000000002E-2</v>
      </c>
      <c r="BC96" s="19">
        <v>6.5000000000000002E-2</v>
      </c>
    </row>
    <row r="97" spans="1:96" s="47" customFormat="1" ht="15" customHeight="1" x14ac:dyDescent="0.3">
      <c r="A97" s="50" t="s">
        <v>17</v>
      </c>
      <c r="B97" s="44" t="s">
        <v>101</v>
      </c>
      <c r="C97" s="9" t="s">
        <v>70</v>
      </c>
      <c r="D97" s="523" t="s">
        <v>52</v>
      </c>
      <c r="E97" s="101">
        <f t="shared" si="19"/>
        <v>0.93795744680851068</v>
      </c>
      <c r="F97" s="97">
        <f t="shared" si="20"/>
        <v>1.7085559076505177E-2</v>
      </c>
      <c r="G97" s="97">
        <f t="shared" si="21"/>
        <v>0.9</v>
      </c>
      <c r="H97" s="377">
        <f t="shared" si="22"/>
        <v>1.0349999999999999</v>
      </c>
      <c r="I97" s="139">
        <v>0.93200000000000005</v>
      </c>
      <c r="J97" s="140">
        <v>0.92700000000000005</v>
      </c>
      <c r="K97" s="140">
        <v>0.92800000000000005</v>
      </c>
      <c r="L97" s="140">
        <v>0.92900000000000005</v>
      </c>
      <c r="M97" s="140">
        <v>0.91200000000000003</v>
      </c>
      <c r="N97" s="140">
        <v>0.9</v>
      </c>
      <c r="O97" s="150">
        <v>0.90100000000000002</v>
      </c>
      <c r="P97" s="429">
        <v>0.92</v>
      </c>
      <c r="Q97" s="430">
        <v>0.90700000000000003</v>
      </c>
      <c r="R97" s="430">
        <v>0.93899999999999995</v>
      </c>
      <c r="S97" s="430">
        <v>0.93899999999999995</v>
      </c>
      <c r="T97" s="430">
        <v>0.93300000000000005</v>
      </c>
      <c r="U97" s="430">
        <v>0.93300000000000005</v>
      </c>
      <c r="V97" s="430">
        <v>0.93200000000000005</v>
      </c>
      <c r="W97" s="430">
        <v>0.93200000000000005</v>
      </c>
      <c r="X97" s="430">
        <v>0.92800000000000005</v>
      </c>
      <c r="Y97" s="430">
        <v>0.92800000000000005</v>
      </c>
      <c r="Z97" s="430">
        <v>0.91500000000000004</v>
      </c>
      <c r="AA97" s="430">
        <v>0.91500000000000004</v>
      </c>
      <c r="AB97" s="430">
        <v>0.91700000000000004</v>
      </c>
      <c r="AC97" s="430">
        <v>0.92300000000000004</v>
      </c>
      <c r="AD97" s="433">
        <v>0.93100000000000005</v>
      </c>
      <c r="AE97" s="139">
        <v>0.93600000000000005</v>
      </c>
      <c r="AF97" s="140">
        <v>0.93500000000000005</v>
      </c>
      <c r="AG97" s="140">
        <v>0.93300000000000005</v>
      </c>
      <c r="AH97" s="430">
        <v>0.94199999999999995</v>
      </c>
      <c r="AI97" s="430">
        <v>0.94199999999999995</v>
      </c>
      <c r="AJ97" s="433">
        <v>0.94199999999999995</v>
      </c>
      <c r="AK97" s="85">
        <v>0.93200000000000005</v>
      </c>
      <c r="AL97" s="77">
        <v>0.93300000000000005</v>
      </c>
      <c r="AM97" s="77">
        <v>0.93600000000000005</v>
      </c>
      <c r="AN97" s="77">
        <v>0.93300000000000005</v>
      </c>
      <c r="AO97" s="77">
        <v>0.92800000000000005</v>
      </c>
      <c r="AP97" s="796">
        <v>0.92300000000000004</v>
      </c>
      <c r="AQ97" s="796">
        <v>0.92600000000000005</v>
      </c>
      <c r="AR97" s="796">
        <v>0.92900000000000005</v>
      </c>
      <c r="AS97" s="811">
        <v>0.93600000000000005</v>
      </c>
      <c r="AT97" s="795">
        <v>1.028</v>
      </c>
      <c r="AU97" s="796">
        <v>1.0309999999999999</v>
      </c>
      <c r="AV97" s="796">
        <v>1.0329999999999999</v>
      </c>
      <c r="AW97" s="797">
        <v>1.0349999999999999</v>
      </c>
      <c r="AX97" s="139">
        <v>0.93600000000000005</v>
      </c>
      <c r="AY97" s="140">
        <v>0.93500000000000005</v>
      </c>
      <c r="AZ97" s="140">
        <v>0.93300000000000005</v>
      </c>
      <c r="BA97" s="430">
        <v>0.94199999999999995</v>
      </c>
      <c r="BB97" s="430">
        <v>0.94199999999999995</v>
      </c>
      <c r="BC97" s="431">
        <v>0.94199999999999995</v>
      </c>
    </row>
    <row r="98" spans="1:96" s="47" customFormat="1" ht="15" customHeight="1" thickBot="1" x14ac:dyDescent="0.35">
      <c r="A98" s="54" t="s">
        <v>18</v>
      </c>
      <c r="B98" s="61" t="s">
        <v>102</v>
      </c>
      <c r="C98" s="10" t="s">
        <v>70</v>
      </c>
      <c r="D98" s="524" t="s">
        <v>52</v>
      </c>
      <c r="E98" s="104">
        <f t="shared" si="19"/>
        <v>0.93461702127659541</v>
      </c>
      <c r="F98" s="105">
        <f t="shared" si="20"/>
        <v>1.426980534178365E-2</v>
      </c>
      <c r="G98" s="105">
        <f t="shared" si="21"/>
        <v>0.88800000000000001</v>
      </c>
      <c r="H98" s="380">
        <f t="shared" si="22"/>
        <v>1.012</v>
      </c>
      <c r="I98" s="20">
        <v>0.90900000000000003</v>
      </c>
      <c r="J98" s="11">
        <v>0.92500000000000004</v>
      </c>
      <c r="K98" s="11">
        <v>0.92700000000000005</v>
      </c>
      <c r="L98" s="11">
        <v>0.92900000000000005</v>
      </c>
      <c r="M98" s="11">
        <v>0.88800000000000001</v>
      </c>
      <c r="N98" s="11">
        <v>0.89300000000000002</v>
      </c>
      <c r="O98" s="30">
        <v>0.9</v>
      </c>
      <c r="P98" s="439">
        <v>0.91600000000000004</v>
      </c>
      <c r="Q98" s="440">
        <v>0.91600000000000004</v>
      </c>
      <c r="R98" s="440">
        <v>0.94</v>
      </c>
      <c r="S98" s="440">
        <v>0.94</v>
      </c>
      <c r="T98" s="440">
        <v>0.93700000000000006</v>
      </c>
      <c r="U98" s="440">
        <v>0.93700000000000006</v>
      </c>
      <c r="V98" s="440">
        <v>0.93700000000000006</v>
      </c>
      <c r="W98" s="440">
        <v>0.93700000000000006</v>
      </c>
      <c r="X98" s="440">
        <v>0.93600000000000005</v>
      </c>
      <c r="Y98" s="440">
        <v>0.93600000000000005</v>
      </c>
      <c r="Z98" s="440">
        <v>0.91700000000000004</v>
      </c>
      <c r="AA98" s="440">
        <v>0.91700000000000004</v>
      </c>
      <c r="AB98" s="440">
        <v>0.91900000000000004</v>
      </c>
      <c r="AC98" s="440">
        <v>0.92300000000000004</v>
      </c>
      <c r="AD98" s="443">
        <v>0.92900000000000005</v>
      </c>
      <c r="AE98" s="20">
        <v>0.94</v>
      </c>
      <c r="AF98" s="11">
        <v>0.94</v>
      </c>
      <c r="AG98" s="11">
        <v>0.94</v>
      </c>
      <c r="AH98" s="440">
        <v>0.93600000000000005</v>
      </c>
      <c r="AI98" s="440">
        <v>0.93600000000000005</v>
      </c>
      <c r="AJ98" s="443">
        <v>0.93600000000000005</v>
      </c>
      <c r="AK98" s="488">
        <v>0.92200000000000004</v>
      </c>
      <c r="AL98" s="489">
        <v>0.93100000000000005</v>
      </c>
      <c r="AM98" s="489">
        <v>0.94499999999999995</v>
      </c>
      <c r="AN98" s="489">
        <v>0.93600000000000005</v>
      </c>
      <c r="AO98" s="489">
        <v>0.92400000000000004</v>
      </c>
      <c r="AP98" s="801">
        <v>0.91900000000000004</v>
      </c>
      <c r="AQ98" s="801">
        <v>0.92500000000000004</v>
      </c>
      <c r="AR98" s="801">
        <v>0.92800000000000005</v>
      </c>
      <c r="AS98" s="812">
        <v>0.93600000000000005</v>
      </c>
      <c r="AT98" s="800">
        <v>0.98899999999999999</v>
      </c>
      <c r="AU98" s="801">
        <v>0.98899999999999999</v>
      </c>
      <c r="AV98" s="801">
        <v>1.0069999999999999</v>
      </c>
      <c r="AW98" s="802">
        <v>1.012</v>
      </c>
      <c r="AX98" s="20">
        <v>0.94</v>
      </c>
      <c r="AY98" s="11">
        <v>0.94</v>
      </c>
      <c r="AZ98" s="11">
        <v>0.94</v>
      </c>
      <c r="BA98" s="440">
        <v>0.93600000000000005</v>
      </c>
      <c r="BB98" s="440">
        <v>0.93600000000000005</v>
      </c>
      <c r="BC98" s="441">
        <v>0.93600000000000005</v>
      </c>
    </row>
    <row r="99" spans="1:96" s="47" customFormat="1" ht="15" customHeight="1" thickBot="1" x14ac:dyDescent="0.35">
      <c r="A99" s="606"/>
      <c r="B99" s="607"/>
      <c r="C99" s="608"/>
      <c r="D99" s="607"/>
      <c r="E99" s="609"/>
      <c r="F99" s="609"/>
      <c r="G99" s="609"/>
      <c r="H99" s="609"/>
      <c r="I99" s="381"/>
      <c r="J99" s="381"/>
      <c r="K99" s="381"/>
      <c r="L99" s="381"/>
      <c r="M99" s="381"/>
      <c r="N99" s="381"/>
      <c r="O99" s="381"/>
      <c r="P99" s="610"/>
      <c r="Q99" s="610"/>
      <c r="R99" s="610"/>
      <c r="S99" s="610"/>
      <c r="T99" s="610"/>
      <c r="U99" s="610"/>
      <c r="V99" s="610"/>
      <c r="W99" s="610"/>
      <c r="X99" s="610"/>
      <c r="Y99" s="610"/>
      <c r="Z99" s="381"/>
      <c r="AA99" s="381"/>
      <c r="AB99" s="381"/>
      <c r="AC99" s="610"/>
      <c r="AD99" s="610"/>
      <c r="AE99" s="610"/>
      <c r="AF99" s="611"/>
      <c r="AG99" s="611"/>
      <c r="AH99" s="611"/>
      <c r="AI99" s="611"/>
      <c r="AJ99" s="611"/>
    </row>
    <row r="100" spans="1:96" s="37" customFormat="1" ht="16.05" customHeight="1" thickBot="1" x14ac:dyDescent="0.35">
      <c r="A100" s="115" t="s">
        <v>515</v>
      </c>
      <c r="B100" s="116"/>
      <c r="C100" s="116"/>
      <c r="D100" s="375" t="str">
        <f>A100</f>
        <v>Herz Energietechnik</v>
      </c>
      <c r="E100" s="882" t="str">
        <f>A100</f>
        <v>Herz Energietechnik</v>
      </c>
      <c r="F100" s="883"/>
      <c r="G100" s="883" t="s">
        <v>80</v>
      </c>
      <c r="H100" s="883"/>
      <c r="I100" s="876" t="s">
        <v>524</v>
      </c>
      <c r="J100" s="877"/>
      <c r="K100" s="877"/>
      <c r="L100" s="877"/>
      <c r="M100" s="877"/>
      <c r="N100" s="877"/>
      <c r="O100" s="877"/>
      <c r="P100" s="877"/>
      <c r="Q100" s="878"/>
      <c r="R100" s="876" t="s">
        <v>524</v>
      </c>
      <c r="S100" s="877"/>
      <c r="T100" s="877"/>
      <c r="U100" s="877"/>
      <c r="V100" s="877"/>
      <c r="W100" s="877"/>
      <c r="X100" s="877"/>
      <c r="Y100" s="877"/>
      <c r="Z100" s="879"/>
      <c r="AA100" s="876" t="s">
        <v>524</v>
      </c>
      <c r="AB100" s="877"/>
      <c r="AC100" s="877"/>
      <c r="AD100" s="877"/>
      <c r="AE100" s="877"/>
      <c r="AF100" s="877"/>
      <c r="AG100" s="877"/>
      <c r="AH100" s="877"/>
      <c r="AI100" s="877"/>
      <c r="AJ100" s="877"/>
      <c r="AK100" s="879"/>
      <c r="AL100" s="867" t="s">
        <v>524</v>
      </c>
      <c r="AM100" s="868"/>
      <c r="AN100" s="868"/>
      <c r="AO100" s="868"/>
      <c r="AP100" s="868"/>
      <c r="AQ100" s="868"/>
      <c r="AR100" s="868"/>
      <c r="AS100" s="868"/>
      <c r="AT100" s="868"/>
      <c r="AU100" s="868"/>
      <c r="AV100" s="868"/>
      <c r="AW100" s="868"/>
      <c r="AX100" s="868"/>
      <c r="AY100" s="868"/>
      <c r="AZ100" s="868"/>
      <c r="BA100" s="868"/>
      <c r="BB100" s="868"/>
      <c r="BC100" s="868"/>
      <c r="BD100" s="868"/>
      <c r="BE100" s="869"/>
      <c r="BF100" s="965" t="s">
        <v>626</v>
      </c>
      <c r="BG100" s="967"/>
      <c r="BH100" s="965" t="s">
        <v>626</v>
      </c>
      <c r="BI100" s="966"/>
      <c r="BJ100" s="966"/>
      <c r="BK100" s="966"/>
      <c r="BL100" s="966"/>
      <c r="BM100" s="966"/>
      <c r="BN100" s="966"/>
      <c r="BO100" s="966"/>
      <c r="BP100" s="966"/>
      <c r="BQ100" s="966"/>
      <c r="BR100" s="966"/>
      <c r="BS100" s="966"/>
      <c r="BT100" s="966"/>
      <c r="BU100" s="966"/>
      <c r="BV100" s="966"/>
      <c r="BW100" s="966"/>
      <c r="BX100" s="966"/>
      <c r="BY100" s="966"/>
      <c r="BZ100" s="966"/>
      <c r="CA100" s="966"/>
      <c r="CB100" s="966"/>
      <c r="CC100" s="966"/>
      <c r="CD100" s="966"/>
      <c r="CE100" s="967"/>
      <c r="CF100" s="965" t="s">
        <v>626</v>
      </c>
      <c r="CG100" s="966"/>
      <c r="CH100" s="967"/>
      <c r="CI100" s="1051" t="s">
        <v>524</v>
      </c>
      <c r="CJ100" s="1052"/>
      <c r="CK100" s="1052"/>
      <c r="CL100" s="1052"/>
      <c r="CM100" s="1053"/>
      <c r="CN100" s="1051" t="s">
        <v>524</v>
      </c>
      <c r="CO100" s="1052"/>
      <c r="CP100" s="1052"/>
      <c r="CQ100" s="1052"/>
      <c r="CR100" s="1053"/>
    </row>
    <row r="101" spans="1:96" s="7" customFormat="1" ht="40.049999999999997" customHeight="1" thickBot="1" x14ac:dyDescent="0.35">
      <c r="A101" s="1025">
        <f>COUNTA(S101:Z101)</f>
        <v>8</v>
      </c>
      <c r="B101" s="1025"/>
      <c r="C101" s="1026"/>
      <c r="D101" s="261" t="s">
        <v>0</v>
      </c>
      <c r="E101" s="110" t="s">
        <v>31</v>
      </c>
      <c r="F101" s="573" t="s">
        <v>512</v>
      </c>
      <c r="G101" s="111" t="s">
        <v>57</v>
      </c>
      <c r="H101" s="620" t="s">
        <v>58</v>
      </c>
      <c r="I101" s="818" t="s">
        <v>882</v>
      </c>
      <c r="J101" s="819" t="s">
        <v>883</v>
      </c>
      <c r="K101" s="819" t="s">
        <v>884</v>
      </c>
      <c r="L101" s="819" t="s">
        <v>885</v>
      </c>
      <c r="M101" s="819" t="s">
        <v>886</v>
      </c>
      <c r="N101" s="819" t="s">
        <v>887</v>
      </c>
      <c r="O101" s="819" t="s">
        <v>888</v>
      </c>
      <c r="P101" s="819" t="s">
        <v>889</v>
      </c>
      <c r="Q101" s="821" t="s">
        <v>890</v>
      </c>
      <c r="R101" s="818" t="s">
        <v>891</v>
      </c>
      <c r="S101" s="819" t="s">
        <v>892</v>
      </c>
      <c r="T101" s="819" t="s">
        <v>893</v>
      </c>
      <c r="U101" s="819" t="s">
        <v>894</v>
      </c>
      <c r="V101" s="819" t="s">
        <v>895</v>
      </c>
      <c r="W101" s="819" t="s">
        <v>896</v>
      </c>
      <c r="X101" s="819" t="s">
        <v>897</v>
      </c>
      <c r="Y101" s="819" t="s">
        <v>898</v>
      </c>
      <c r="Z101" s="821" t="s">
        <v>899</v>
      </c>
      <c r="AA101" s="818" t="s">
        <v>516</v>
      </c>
      <c r="AB101" s="819" t="s">
        <v>517</v>
      </c>
      <c r="AC101" s="819" t="s">
        <v>518</v>
      </c>
      <c r="AD101" s="819" t="s">
        <v>519</v>
      </c>
      <c r="AE101" s="819" t="s">
        <v>520</v>
      </c>
      <c r="AF101" s="819" t="s">
        <v>521</v>
      </c>
      <c r="AG101" s="819" t="s">
        <v>522</v>
      </c>
      <c r="AH101" s="819" t="s">
        <v>523</v>
      </c>
      <c r="AI101" s="819" t="s">
        <v>900</v>
      </c>
      <c r="AJ101" s="819" t="s">
        <v>901</v>
      </c>
      <c r="AK101" s="821" t="s">
        <v>902</v>
      </c>
      <c r="AL101" s="818" t="s">
        <v>903</v>
      </c>
      <c r="AM101" s="819" t="s">
        <v>904</v>
      </c>
      <c r="AN101" s="819" t="s">
        <v>905</v>
      </c>
      <c r="AO101" s="819" t="s">
        <v>906</v>
      </c>
      <c r="AP101" s="819" t="s">
        <v>907</v>
      </c>
      <c r="AQ101" s="819" t="s">
        <v>908</v>
      </c>
      <c r="AR101" s="819" t="s">
        <v>909</v>
      </c>
      <c r="AS101" s="819" t="s">
        <v>910</v>
      </c>
      <c r="AT101" s="819" t="s">
        <v>911</v>
      </c>
      <c r="AU101" s="819" t="s">
        <v>912</v>
      </c>
      <c r="AV101" s="819" t="s">
        <v>913</v>
      </c>
      <c r="AW101" s="819" t="s">
        <v>914</v>
      </c>
      <c r="AX101" s="819" t="s">
        <v>915</v>
      </c>
      <c r="AY101" s="819" t="s">
        <v>916</v>
      </c>
      <c r="AZ101" s="819" t="s">
        <v>917</v>
      </c>
      <c r="BA101" s="819" t="s">
        <v>918</v>
      </c>
      <c r="BB101" s="819" t="s">
        <v>919</v>
      </c>
      <c r="BC101" s="819" t="s">
        <v>920</v>
      </c>
      <c r="BD101" s="819" t="s">
        <v>921</v>
      </c>
      <c r="BE101" s="820" t="s">
        <v>922</v>
      </c>
      <c r="BF101" s="612" t="s">
        <v>627</v>
      </c>
      <c r="BG101" s="612" t="s">
        <v>628</v>
      </c>
      <c r="BH101" s="652" t="s">
        <v>629</v>
      </c>
      <c r="BI101" s="652" t="s">
        <v>630</v>
      </c>
      <c r="BJ101" s="652" t="s">
        <v>631</v>
      </c>
      <c r="BK101" s="652" t="s">
        <v>632</v>
      </c>
      <c r="BL101" s="652" t="s">
        <v>633</v>
      </c>
      <c r="BM101" s="652" t="s">
        <v>658</v>
      </c>
      <c r="BN101" s="652" t="s">
        <v>634</v>
      </c>
      <c r="BO101" s="652" t="s">
        <v>635</v>
      </c>
      <c r="BP101" s="652" t="s">
        <v>636</v>
      </c>
      <c r="BQ101" s="652" t="s">
        <v>637</v>
      </c>
      <c r="BR101" s="652" t="s">
        <v>638</v>
      </c>
      <c r="BS101" s="652" t="s">
        <v>639</v>
      </c>
      <c r="BT101" s="652" t="s">
        <v>640</v>
      </c>
      <c r="BU101" s="652" t="s">
        <v>641</v>
      </c>
      <c r="BV101" s="652" t="s">
        <v>642</v>
      </c>
      <c r="BW101" s="652" t="s">
        <v>643</v>
      </c>
      <c r="BX101" s="652" t="s">
        <v>644</v>
      </c>
      <c r="BY101" s="652" t="s">
        <v>645</v>
      </c>
      <c r="BZ101" s="652" t="s">
        <v>646</v>
      </c>
      <c r="CA101" s="652" t="s">
        <v>647</v>
      </c>
      <c r="CB101" s="652" t="s">
        <v>648</v>
      </c>
      <c r="CC101" s="652" t="s">
        <v>649</v>
      </c>
      <c r="CD101" s="652" t="s">
        <v>650</v>
      </c>
      <c r="CE101" s="654" t="s">
        <v>651</v>
      </c>
      <c r="CF101" s="652" t="s">
        <v>654</v>
      </c>
      <c r="CG101" s="663" t="s">
        <v>655</v>
      </c>
      <c r="CH101" s="661" t="s">
        <v>656</v>
      </c>
      <c r="CI101" s="504" t="s">
        <v>525</v>
      </c>
      <c r="CJ101" s="152" t="s">
        <v>526</v>
      </c>
      <c r="CK101" s="152" t="s">
        <v>527</v>
      </c>
      <c r="CL101" s="152" t="s">
        <v>528</v>
      </c>
      <c r="CM101" s="613" t="s">
        <v>529</v>
      </c>
      <c r="CN101" s="152" t="s">
        <v>530</v>
      </c>
      <c r="CO101" s="152" t="s">
        <v>531</v>
      </c>
      <c r="CP101" s="152" t="s">
        <v>532</v>
      </c>
      <c r="CQ101" s="152" t="s">
        <v>533</v>
      </c>
      <c r="CR101" s="613" t="s">
        <v>534</v>
      </c>
    </row>
    <row r="102" spans="1:96" s="7" customFormat="1" ht="15" customHeight="1" thickBot="1" x14ac:dyDescent="0.35">
      <c r="A102" s="1027"/>
      <c r="B102" s="1027"/>
      <c r="C102" s="1028"/>
      <c r="D102" s="117" t="s">
        <v>33</v>
      </c>
      <c r="E102" s="971" t="s">
        <v>513</v>
      </c>
      <c r="F102" s="972"/>
      <c r="G102" s="972"/>
      <c r="H102" s="972"/>
      <c r="I102" s="870" t="s">
        <v>29</v>
      </c>
      <c r="J102" s="871"/>
      <c r="K102" s="871"/>
      <c r="L102" s="871"/>
      <c r="M102" s="871"/>
      <c r="N102" s="871"/>
      <c r="O102" s="871"/>
      <c r="P102" s="871"/>
      <c r="Q102" s="872"/>
      <c r="R102" s="852" t="s">
        <v>29</v>
      </c>
      <c r="S102" s="853"/>
      <c r="T102" s="853"/>
      <c r="U102" s="853"/>
      <c r="V102" s="853"/>
      <c r="W102" s="853"/>
      <c r="X102" s="853"/>
      <c r="Y102" s="853"/>
      <c r="Z102" s="853"/>
      <c r="AA102" s="870" t="s">
        <v>179</v>
      </c>
      <c r="AB102" s="871"/>
      <c r="AC102" s="871"/>
      <c r="AD102" s="871"/>
      <c r="AE102" s="871"/>
      <c r="AF102" s="871"/>
      <c r="AG102" s="871"/>
      <c r="AH102" s="871"/>
      <c r="AI102" s="871"/>
      <c r="AJ102" s="871"/>
      <c r="AK102" s="880"/>
      <c r="AL102" s="846" t="s">
        <v>923</v>
      </c>
      <c r="AM102" s="847"/>
      <c r="AN102" s="847"/>
      <c r="AO102" s="847"/>
      <c r="AP102" s="847"/>
      <c r="AQ102" s="847"/>
      <c r="AR102" s="847"/>
      <c r="AS102" s="847"/>
      <c r="AT102" s="847"/>
      <c r="AU102" s="847"/>
      <c r="AV102" s="847"/>
      <c r="AW102" s="847"/>
      <c r="AX102" s="847"/>
      <c r="AY102" s="847"/>
      <c r="AZ102" s="847"/>
      <c r="BA102" s="847"/>
      <c r="BB102" s="847"/>
      <c r="BC102" s="847"/>
      <c r="BD102" s="847"/>
      <c r="BE102" s="848"/>
      <c r="BF102" s="1000" t="s">
        <v>653</v>
      </c>
      <c r="BG102" s="1001"/>
      <c r="BH102" s="968" t="s">
        <v>652</v>
      </c>
      <c r="BI102" s="969"/>
      <c r="BJ102" s="969"/>
      <c r="BK102" s="969"/>
      <c r="BL102" s="969"/>
      <c r="BM102" s="969"/>
      <c r="BN102" s="969"/>
      <c r="BO102" s="969"/>
      <c r="BP102" s="969"/>
      <c r="BQ102" s="969"/>
      <c r="BR102" s="969"/>
      <c r="BS102" s="969"/>
      <c r="BT102" s="969"/>
      <c r="BU102" s="969"/>
      <c r="BV102" s="969"/>
      <c r="BW102" s="969"/>
      <c r="BX102" s="969"/>
      <c r="BY102" s="969"/>
      <c r="BZ102" s="969"/>
      <c r="CA102" s="969"/>
      <c r="CB102" s="969"/>
      <c r="CC102" s="969"/>
      <c r="CD102" s="969"/>
      <c r="CE102" s="970"/>
      <c r="CF102" s="994" t="s">
        <v>657</v>
      </c>
      <c r="CG102" s="995"/>
      <c r="CH102" s="996"/>
      <c r="CI102" s="832" t="s">
        <v>29</v>
      </c>
      <c r="CJ102" s="839"/>
      <c r="CK102" s="839"/>
      <c r="CL102" s="839"/>
      <c r="CM102" s="843"/>
      <c r="CN102" s="832" t="s">
        <v>29</v>
      </c>
      <c r="CO102" s="839"/>
      <c r="CP102" s="839"/>
      <c r="CQ102" s="839"/>
      <c r="CR102" s="843"/>
    </row>
    <row r="103" spans="1:96" s="7" customFormat="1" ht="15" customHeight="1" thickBot="1" x14ac:dyDescent="0.35">
      <c r="A103" s="57" t="s">
        <v>54</v>
      </c>
      <c r="B103" s="122" t="s">
        <v>55</v>
      </c>
      <c r="C103" s="62" t="s">
        <v>1</v>
      </c>
      <c r="D103" s="118" t="s">
        <v>32</v>
      </c>
      <c r="E103" s="971"/>
      <c r="F103" s="972"/>
      <c r="G103" s="972"/>
      <c r="H103" s="972"/>
      <c r="I103" s="873"/>
      <c r="J103" s="874"/>
      <c r="K103" s="874"/>
      <c r="L103" s="874"/>
      <c r="M103" s="874"/>
      <c r="N103" s="874"/>
      <c r="O103" s="874"/>
      <c r="P103" s="874"/>
      <c r="Q103" s="875"/>
      <c r="R103" s="855"/>
      <c r="S103" s="856"/>
      <c r="T103" s="856"/>
      <c r="U103" s="856"/>
      <c r="V103" s="856"/>
      <c r="W103" s="856"/>
      <c r="X103" s="856"/>
      <c r="Y103" s="856"/>
      <c r="Z103" s="856"/>
      <c r="AA103" s="873"/>
      <c r="AB103" s="874"/>
      <c r="AC103" s="874"/>
      <c r="AD103" s="874"/>
      <c r="AE103" s="874"/>
      <c r="AF103" s="874"/>
      <c r="AG103" s="874"/>
      <c r="AH103" s="874"/>
      <c r="AI103" s="874"/>
      <c r="AJ103" s="874"/>
      <c r="AK103" s="881"/>
      <c r="AL103" s="849"/>
      <c r="AM103" s="850"/>
      <c r="AN103" s="850"/>
      <c r="AO103" s="850"/>
      <c r="AP103" s="850"/>
      <c r="AQ103" s="850"/>
      <c r="AR103" s="850"/>
      <c r="AS103" s="850"/>
      <c r="AT103" s="850"/>
      <c r="AU103" s="850"/>
      <c r="AV103" s="850"/>
      <c r="AW103" s="850"/>
      <c r="AX103" s="850"/>
      <c r="AY103" s="850"/>
      <c r="AZ103" s="850"/>
      <c r="BA103" s="850"/>
      <c r="BB103" s="850"/>
      <c r="BC103" s="850"/>
      <c r="BD103" s="850"/>
      <c r="BE103" s="851"/>
      <c r="BF103" s="1002"/>
      <c r="BG103" s="1003"/>
      <c r="BH103" s="971"/>
      <c r="BI103" s="972"/>
      <c r="BJ103" s="972"/>
      <c r="BK103" s="972"/>
      <c r="BL103" s="972"/>
      <c r="BM103" s="972"/>
      <c r="BN103" s="972"/>
      <c r="BO103" s="972"/>
      <c r="BP103" s="972"/>
      <c r="BQ103" s="972"/>
      <c r="BR103" s="972"/>
      <c r="BS103" s="972"/>
      <c r="BT103" s="972"/>
      <c r="BU103" s="972"/>
      <c r="BV103" s="972"/>
      <c r="BW103" s="972"/>
      <c r="BX103" s="972"/>
      <c r="BY103" s="972"/>
      <c r="BZ103" s="972"/>
      <c r="CA103" s="972"/>
      <c r="CB103" s="972"/>
      <c r="CC103" s="972"/>
      <c r="CD103" s="972"/>
      <c r="CE103" s="973"/>
      <c r="CF103" s="997"/>
      <c r="CG103" s="998"/>
      <c r="CH103" s="999"/>
      <c r="CI103" s="834"/>
      <c r="CJ103" s="840"/>
      <c r="CK103" s="840"/>
      <c r="CL103" s="840"/>
      <c r="CM103" s="845"/>
      <c r="CN103" s="834"/>
      <c r="CO103" s="840"/>
      <c r="CP103" s="840"/>
      <c r="CQ103" s="840"/>
      <c r="CR103" s="845"/>
    </row>
    <row r="104" spans="1:96" s="7" customFormat="1" ht="15" x14ac:dyDescent="0.3">
      <c r="A104" s="45" t="s">
        <v>5</v>
      </c>
      <c r="B104" s="60" t="s">
        <v>21</v>
      </c>
      <c r="C104" s="119" t="s">
        <v>69</v>
      </c>
      <c r="D104" s="522" t="s">
        <v>52</v>
      </c>
      <c r="E104" s="99">
        <f>AVERAGE(S104:Z104)</f>
        <v>54.5</v>
      </c>
      <c r="F104" s="100">
        <f>AVEDEV(S104:Z104)</f>
        <v>34</v>
      </c>
      <c r="G104" s="100">
        <f>MIN(S104:Z104)</f>
        <v>14</v>
      </c>
      <c r="H104" s="626">
        <f>MAX(S104:Z104)</f>
        <v>105</v>
      </c>
      <c r="I104" s="815">
        <v>10</v>
      </c>
      <c r="J104" s="816">
        <v>14</v>
      </c>
      <c r="K104" s="816">
        <v>18</v>
      </c>
      <c r="L104" s="816">
        <v>20</v>
      </c>
      <c r="M104" s="816">
        <v>30</v>
      </c>
      <c r="N104" s="816">
        <v>70</v>
      </c>
      <c r="O104" s="816">
        <v>80</v>
      </c>
      <c r="P104" s="816">
        <v>99</v>
      </c>
      <c r="Q104" s="817">
        <v>105</v>
      </c>
      <c r="R104" s="815">
        <v>10</v>
      </c>
      <c r="S104" s="816">
        <v>14</v>
      </c>
      <c r="T104" s="816">
        <v>18</v>
      </c>
      <c r="U104" s="816">
        <v>20</v>
      </c>
      <c r="V104" s="816">
        <v>30</v>
      </c>
      <c r="W104" s="816">
        <v>70</v>
      </c>
      <c r="X104" s="816">
        <v>80</v>
      </c>
      <c r="Y104" s="816">
        <v>99</v>
      </c>
      <c r="Z104" s="817">
        <v>105</v>
      </c>
      <c r="AA104" s="815">
        <v>10</v>
      </c>
      <c r="AB104" s="816">
        <v>12</v>
      </c>
      <c r="AC104" s="816">
        <v>14</v>
      </c>
      <c r="AD104" s="816">
        <v>16</v>
      </c>
      <c r="AE104" s="816">
        <v>20</v>
      </c>
      <c r="AF104" s="816">
        <v>30</v>
      </c>
      <c r="AG104" s="816">
        <v>45</v>
      </c>
      <c r="AH104" s="816">
        <v>60</v>
      </c>
      <c r="AI104" s="816">
        <v>80</v>
      </c>
      <c r="AJ104" s="816">
        <v>99</v>
      </c>
      <c r="AK104" s="817">
        <v>101</v>
      </c>
      <c r="AL104" s="648">
        <v>80</v>
      </c>
      <c r="AM104" s="824">
        <v>99</v>
      </c>
      <c r="AN104" s="824">
        <v>101</v>
      </c>
      <c r="AO104" s="824">
        <v>120</v>
      </c>
      <c r="AP104" s="824">
        <v>130</v>
      </c>
      <c r="AQ104" s="824">
        <v>149</v>
      </c>
      <c r="AR104" s="824">
        <v>151</v>
      </c>
      <c r="AS104" s="824">
        <v>180</v>
      </c>
      <c r="AT104" s="824">
        <v>199</v>
      </c>
      <c r="AU104" s="824">
        <v>201</v>
      </c>
      <c r="AV104" s="824">
        <v>249</v>
      </c>
      <c r="AW104" s="824">
        <v>251</v>
      </c>
      <c r="AX104" s="824">
        <v>299</v>
      </c>
      <c r="AY104" s="824">
        <v>301</v>
      </c>
      <c r="AZ104" s="824">
        <v>349</v>
      </c>
      <c r="BA104" s="824">
        <v>351</v>
      </c>
      <c r="BB104" s="824">
        <v>399</v>
      </c>
      <c r="BC104" s="824">
        <v>401</v>
      </c>
      <c r="BD104" s="824">
        <v>499</v>
      </c>
      <c r="BE104" s="825">
        <v>540</v>
      </c>
      <c r="BF104" s="648">
        <v>30</v>
      </c>
      <c r="BG104" s="657">
        <v>40</v>
      </c>
      <c r="BH104" s="668">
        <v>20</v>
      </c>
      <c r="BI104" s="672">
        <v>35</v>
      </c>
      <c r="BJ104" s="672">
        <v>45</v>
      </c>
      <c r="BK104" s="672">
        <v>60</v>
      </c>
      <c r="BL104" s="672">
        <v>80</v>
      </c>
      <c r="BM104" s="672">
        <v>99</v>
      </c>
      <c r="BN104" s="672">
        <v>101</v>
      </c>
      <c r="BO104" s="672">
        <v>120</v>
      </c>
      <c r="BP104" s="672">
        <v>130</v>
      </c>
      <c r="BQ104" s="672">
        <v>149</v>
      </c>
      <c r="BR104" s="672">
        <v>151</v>
      </c>
      <c r="BS104" s="672">
        <v>180</v>
      </c>
      <c r="BT104" s="672">
        <v>199</v>
      </c>
      <c r="BU104" s="672">
        <v>201</v>
      </c>
      <c r="BV104" s="672">
        <v>249</v>
      </c>
      <c r="BW104" s="672">
        <v>251</v>
      </c>
      <c r="BX104" s="672">
        <v>299</v>
      </c>
      <c r="BY104" s="672">
        <v>301</v>
      </c>
      <c r="BZ104" s="672">
        <v>349</v>
      </c>
      <c r="CA104" s="672">
        <v>351</v>
      </c>
      <c r="CB104" s="672">
        <v>399</v>
      </c>
      <c r="CC104" s="672">
        <v>401</v>
      </c>
      <c r="CD104" s="672">
        <v>499</v>
      </c>
      <c r="CE104" s="670">
        <v>540</v>
      </c>
      <c r="CF104" s="640">
        <v>20</v>
      </c>
      <c r="CG104" s="669">
        <v>30</v>
      </c>
      <c r="CH104" s="670">
        <v>30</v>
      </c>
      <c r="CI104" s="596">
        <v>12</v>
      </c>
      <c r="CJ104" s="564">
        <v>20</v>
      </c>
      <c r="CK104" s="564">
        <v>30</v>
      </c>
      <c r="CL104" s="564">
        <v>45</v>
      </c>
      <c r="CM104" s="614">
        <v>60</v>
      </c>
      <c r="CN104" s="615">
        <v>12</v>
      </c>
      <c r="CO104" s="564">
        <v>20</v>
      </c>
      <c r="CP104" s="564">
        <v>30</v>
      </c>
      <c r="CQ104" s="615">
        <v>45</v>
      </c>
      <c r="CR104" s="614">
        <v>60</v>
      </c>
    </row>
    <row r="105" spans="1:96" s="7" customFormat="1" ht="15" x14ac:dyDescent="0.3">
      <c r="A105" s="49" t="s">
        <v>6</v>
      </c>
      <c r="B105" s="44" t="s">
        <v>22</v>
      </c>
      <c r="C105" s="120" t="s">
        <v>70</v>
      </c>
      <c r="D105" s="523" t="s">
        <v>52</v>
      </c>
      <c r="E105" s="101"/>
      <c r="F105" s="97"/>
      <c r="G105" s="97"/>
      <c r="H105" s="627"/>
      <c r="I105" s="249"/>
      <c r="J105" s="222"/>
      <c r="K105" s="222"/>
      <c r="L105" s="222"/>
      <c r="M105" s="222"/>
      <c r="N105" s="222"/>
      <c r="O105" s="222"/>
      <c r="P105" s="222"/>
      <c r="Q105" s="255"/>
      <c r="R105" s="249"/>
      <c r="S105" s="222"/>
      <c r="T105" s="222"/>
      <c r="U105" s="222"/>
      <c r="V105" s="222"/>
      <c r="W105" s="222"/>
      <c r="X105" s="222"/>
      <c r="Y105" s="222"/>
      <c r="Z105" s="255"/>
      <c r="AA105" s="249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55"/>
      <c r="AL105" s="645"/>
      <c r="AM105" s="653"/>
      <c r="AN105" s="653"/>
      <c r="AO105" s="653"/>
      <c r="AP105" s="653"/>
      <c r="AQ105" s="653"/>
      <c r="AR105" s="653"/>
      <c r="AS105" s="653"/>
      <c r="AT105" s="653"/>
      <c r="AU105" s="653"/>
      <c r="AV105" s="653"/>
      <c r="AW105" s="653"/>
      <c r="AX105" s="653"/>
      <c r="AY105" s="653"/>
      <c r="AZ105" s="653"/>
      <c r="BA105" s="653"/>
      <c r="BB105" s="653"/>
      <c r="BC105" s="653"/>
      <c r="BD105" s="653"/>
      <c r="BE105" s="658"/>
      <c r="BF105" s="645"/>
      <c r="BG105" s="656"/>
      <c r="BH105" s="645"/>
      <c r="BI105" s="653"/>
      <c r="BJ105" s="653"/>
      <c r="BK105" s="653"/>
      <c r="BL105" s="653"/>
      <c r="BM105" s="653"/>
      <c r="BN105" s="653"/>
      <c r="BO105" s="653"/>
      <c r="BP105" s="653"/>
      <c r="BQ105" s="653"/>
      <c r="BR105" s="653"/>
      <c r="BS105" s="653"/>
      <c r="BT105" s="653"/>
      <c r="BU105" s="653"/>
      <c r="BV105" s="653"/>
      <c r="BW105" s="653"/>
      <c r="BX105" s="653"/>
      <c r="BY105" s="653"/>
      <c r="BZ105" s="653"/>
      <c r="CA105" s="653"/>
      <c r="CB105" s="653"/>
      <c r="CC105" s="653"/>
      <c r="CD105" s="653"/>
      <c r="CE105" s="658"/>
      <c r="CF105" s="639"/>
      <c r="CG105" s="664"/>
      <c r="CH105" s="658"/>
      <c r="CI105" s="249"/>
      <c r="CJ105" s="222"/>
      <c r="CK105" s="222"/>
      <c r="CL105" s="222"/>
      <c r="CM105" s="223"/>
      <c r="CN105" s="563"/>
      <c r="CO105" s="222"/>
      <c r="CP105" s="222"/>
      <c r="CQ105" s="563"/>
      <c r="CR105" s="223"/>
    </row>
    <row r="106" spans="1:96" s="7" customFormat="1" ht="15" x14ac:dyDescent="0.3">
      <c r="A106" s="49" t="s">
        <v>64</v>
      </c>
      <c r="B106" s="59" t="s">
        <v>23</v>
      </c>
      <c r="C106" s="120" t="s">
        <v>70</v>
      </c>
      <c r="D106" s="523" t="s">
        <v>61</v>
      </c>
      <c r="E106" s="102">
        <f t="shared" ref="E106:E113" si="23">AVERAGE(S106:Z106)</f>
        <v>0.3</v>
      </c>
      <c r="F106" s="98">
        <f t="shared" ref="F106:F113" si="24">AVEDEV(S106:Z106)</f>
        <v>0</v>
      </c>
      <c r="G106" s="98">
        <f t="shared" ref="G106:G113" si="25">MIN(S106:Z106)</f>
        <v>0.3</v>
      </c>
      <c r="H106" s="628">
        <f t="shared" ref="H106:H113" si="26">MAX(S106:Z106)</f>
        <v>0.3</v>
      </c>
      <c r="I106" s="13">
        <v>0.3</v>
      </c>
      <c r="J106" s="127">
        <v>0.3</v>
      </c>
      <c r="K106" s="127">
        <v>0.3</v>
      </c>
      <c r="L106" s="127">
        <v>0.3</v>
      </c>
      <c r="M106" s="127">
        <v>0.3</v>
      </c>
      <c r="N106" s="127">
        <v>0.3</v>
      </c>
      <c r="O106" s="127">
        <v>0.3</v>
      </c>
      <c r="P106" s="127">
        <v>0.3</v>
      </c>
      <c r="Q106" s="486">
        <v>0.3</v>
      </c>
      <c r="R106" s="13">
        <v>0.3</v>
      </c>
      <c r="S106" s="127">
        <v>0.3</v>
      </c>
      <c r="T106" s="127">
        <v>0.3</v>
      </c>
      <c r="U106" s="127">
        <v>0.3</v>
      </c>
      <c r="V106" s="127">
        <v>0.3</v>
      </c>
      <c r="W106" s="127">
        <v>0.3</v>
      </c>
      <c r="X106" s="127">
        <v>0.3</v>
      </c>
      <c r="Y106" s="127">
        <v>0.3</v>
      </c>
      <c r="Z106" s="486">
        <v>0.3</v>
      </c>
      <c r="AA106" s="13">
        <v>0.3</v>
      </c>
      <c r="AB106" s="127">
        <v>0.3</v>
      </c>
      <c r="AC106" s="127">
        <v>0.3</v>
      </c>
      <c r="AD106" s="127">
        <v>0.3</v>
      </c>
      <c r="AE106" s="127">
        <v>0.3</v>
      </c>
      <c r="AF106" s="127">
        <v>0.3</v>
      </c>
      <c r="AG106" s="127">
        <v>0.3</v>
      </c>
      <c r="AH106" s="127">
        <v>0.3</v>
      </c>
      <c r="AI106" s="127">
        <v>0.3</v>
      </c>
      <c r="AJ106" s="127">
        <v>0.3</v>
      </c>
      <c r="AK106" s="486">
        <v>0.3</v>
      </c>
      <c r="AL106" s="649">
        <v>0.3</v>
      </c>
      <c r="AM106" s="650">
        <v>0.3</v>
      </c>
      <c r="AN106" s="650">
        <v>0.3</v>
      </c>
      <c r="AO106" s="650">
        <v>0.3</v>
      </c>
      <c r="AP106" s="650">
        <v>0.3</v>
      </c>
      <c r="AQ106" s="650">
        <v>0.3</v>
      </c>
      <c r="AR106" s="650">
        <v>0.3</v>
      </c>
      <c r="AS106" s="650">
        <v>0.3</v>
      </c>
      <c r="AT106" s="650">
        <v>0.3</v>
      </c>
      <c r="AU106" s="650">
        <v>0.3</v>
      </c>
      <c r="AV106" s="650">
        <v>0.3</v>
      </c>
      <c r="AW106" s="650">
        <v>0.3</v>
      </c>
      <c r="AX106" s="650">
        <v>0.3</v>
      </c>
      <c r="AY106" s="650">
        <v>0.3</v>
      </c>
      <c r="AZ106" s="650">
        <v>0.3</v>
      </c>
      <c r="BA106" s="650">
        <v>0.3</v>
      </c>
      <c r="BB106" s="650">
        <v>0.3</v>
      </c>
      <c r="BC106" s="650">
        <v>0.3</v>
      </c>
      <c r="BD106" s="650">
        <v>0.3</v>
      </c>
      <c r="BE106" s="662">
        <v>0.3</v>
      </c>
      <c r="BF106" s="649">
        <v>0.3</v>
      </c>
      <c r="BG106" s="655">
        <v>0.3</v>
      </c>
      <c r="BH106" s="649">
        <v>0.3</v>
      </c>
      <c r="BI106" s="650">
        <v>0.3</v>
      </c>
      <c r="BJ106" s="650">
        <v>0.3</v>
      </c>
      <c r="BK106" s="650">
        <v>0.3</v>
      </c>
      <c r="BL106" s="650">
        <v>0.3</v>
      </c>
      <c r="BM106" s="650">
        <v>0.3</v>
      </c>
      <c r="BN106" s="650">
        <v>0.3</v>
      </c>
      <c r="BO106" s="650">
        <v>0.3</v>
      </c>
      <c r="BP106" s="650">
        <v>0.3</v>
      </c>
      <c r="BQ106" s="650">
        <v>0.3</v>
      </c>
      <c r="BR106" s="650">
        <v>0.3</v>
      </c>
      <c r="BS106" s="650">
        <v>0.3</v>
      </c>
      <c r="BT106" s="650">
        <v>0.3</v>
      </c>
      <c r="BU106" s="650">
        <v>0.3</v>
      </c>
      <c r="BV106" s="650">
        <v>0.3</v>
      </c>
      <c r="BW106" s="650">
        <v>0.3</v>
      </c>
      <c r="BX106" s="650">
        <v>0.3</v>
      </c>
      <c r="BY106" s="650">
        <v>0.3</v>
      </c>
      <c r="BZ106" s="650">
        <v>0.3</v>
      </c>
      <c r="CA106" s="650">
        <v>0.3</v>
      </c>
      <c r="CB106" s="650">
        <v>0.3</v>
      </c>
      <c r="CC106" s="650">
        <v>0.3</v>
      </c>
      <c r="CD106" s="650">
        <v>0.3</v>
      </c>
      <c r="CE106" s="662">
        <v>0.3</v>
      </c>
      <c r="CF106" s="637">
        <v>0.3</v>
      </c>
      <c r="CG106" s="665">
        <v>0.3</v>
      </c>
      <c r="CH106" s="662">
        <v>0.3</v>
      </c>
      <c r="CI106" s="219">
        <v>0.3</v>
      </c>
      <c r="CJ106" s="79">
        <v>0.3</v>
      </c>
      <c r="CK106" s="79">
        <v>0.3</v>
      </c>
      <c r="CL106" s="79">
        <v>0.3</v>
      </c>
      <c r="CM106" s="220">
        <v>0.3</v>
      </c>
      <c r="CN106" s="219">
        <v>0.3</v>
      </c>
      <c r="CO106" s="79">
        <v>0.3</v>
      </c>
      <c r="CP106" s="79">
        <v>0.3</v>
      </c>
      <c r="CQ106" s="79">
        <v>0.3</v>
      </c>
      <c r="CR106" s="220">
        <v>0.3</v>
      </c>
    </row>
    <row r="107" spans="1:96" s="7" customFormat="1" ht="15" x14ac:dyDescent="0.3">
      <c r="A107" s="49" t="s">
        <v>3</v>
      </c>
      <c r="B107" s="44" t="s">
        <v>278</v>
      </c>
      <c r="C107" s="120" t="s">
        <v>71</v>
      </c>
      <c r="D107" s="523" t="s">
        <v>52</v>
      </c>
      <c r="E107" s="103">
        <f t="shared" si="23"/>
        <v>71.16</v>
      </c>
      <c r="F107" s="96">
        <f t="shared" si="24"/>
        <v>0.752000000000001</v>
      </c>
      <c r="G107" s="96">
        <f t="shared" si="25"/>
        <v>70.2</v>
      </c>
      <c r="H107" s="629">
        <f t="shared" si="26"/>
        <v>72.3</v>
      </c>
      <c r="I107" s="142">
        <v>72.5</v>
      </c>
      <c r="J107" s="137"/>
      <c r="K107" s="137">
        <v>71.900000000000006</v>
      </c>
      <c r="L107" s="137">
        <v>70.900000000000006</v>
      </c>
      <c r="M107" s="137">
        <v>71.099999999999994</v>
      </c>
      <c r="N107" s="137">
        <v>70.2</v>
      </c>
      <c r="O107" s="137"/>
      <c r="P107" s="137"/>
      <c r="Q107" s="151">
        <v>70.2</v>
      </c>
      <c r="R107" s="142">
        <v>71.599999999999994</v>
      </c>
      <c r="S107" s="137"/>
      <c r="T107" s="137">
        <v>71.900000000000006</v>
      </c>
      <c r="U107" s="137">
        <v>71.099999999999994</v>
      </c>
      <c r="V107" s="137">
        <v>72.3</v>
      </c>
      <c r="W107" s="137">
        <v>70.3</v>
      </c>
      <c r="X107" s="137"/>
      <c r="Y107" s="137"/>
      <c r="Z107" s="151">
        <v>70.2</v>
      </c>
      <c r="AA107" s="142">
        <v>50</v>
      </c>
      <c r="AB107" s="137">
        <v>50</v>
      </c>
      <c r="AC107" s="137">
        <v>50</v>
      </c>
      <c r="AD107" s="137">
        <v>50</v>
      </c>
      <c r="AE107" s="137">
        <v>50</v>
      </c>
      <c r="AF107" s="137">
        <v>50</v>
      </c>
      <c r="AG107" s="137">
        <v>50</v>
      </c>
      <c r="AH107" s="137">
        <v>50</v>
      </c>
      <c r="AI107" s="137">
        <v>49.6</v>
      </c>
      <c r="AJ107" s="137">
        <v>49.1</v>
      </c>
      <c r="AK107" s="151">
        <v>49.1</v>
      </c>
      <c r="AL107" s="646">
        <v>70</v>
      </c>
      <c r="AM107" s="822">
        <v>72.2</v>
      </c>
      <c r="AN107" s="822">
        <v>72.2</v>
      </c>
      <c r="AO107" s="822">
        <v>70.8</v>
      </c>
      <c r="AP107" s="822"/>
      <c r="AQ107" s="822"/>
      <c r="AR107" s="822"/>
      <c r="AS107" s="822"/>
      <c r="AT107" s="822"/>
      <c r="AU107" s="822">
        <v>70.5</v>
      </c>
      <c r="AV107" s="822">
        <v>71.5</v>
      </c>
      <c r="AW107" s="822">
        <v>71.5</v>
      </c>
      <c r="AX107" s="822">
        <v>71.099999999999994</v>
      </c>
      <c r="AY107" s="822">
        <v>71.099999999999994</v>
      </c>
      <c r="AZ107" s="822">
        <v>70.599999999999994</v>
      </c>
      <c r="BA107" s="822"/>
      <c r="BB107" s="822"/>
      <c r="BC107" s="822"/>
      <c r="BD107" s="822">
        <v>73.099999999999994</v>
      </c>
      <c r="BE107" s="823">
        <v>73.099999999999994</v>
      </c>
      <c r="BF107" s="646">
        <v>49.6</v>
      </c>
      <c r="BG107" s="642">
        <v>49.6</v>
      </c>
      <c r="BH107" s="649">
        <v>75.3</v>
      </c>
      <c r="BI107" s="650">
        <v>75.5</v>
      </c>
      <c r="BJ107" s="650">
        <v>74.900000000000006</v>
      </c>
      <c r="BK107" s="650">
        <v>76.3</v>
      </c>
      <c r="BL107" s="650">
        <v>78.400000000000006</v>
      </c>
      <c r="BM107" s="650">
        <v>78.400000000000006</v>
      </c>
      <c r="BN107" s="650">
        <v>78.400000000000006</v>
      </c>
      <c r="BO107" s="650">
        <v>74.8</v>
      </c>
      <c r="BP107" s="650">
        <v>74.900000000000006</v>
      </c>
      <c r="BQ107" s="650">
        <v>75.400000000000006</v>
      </c>
      <c r="BR107" s="650">
        <v>75.400000000000006</v>
      </c>
      <c r="BS107" s="650">
        <v>80.099999999999994</v>
      </c>
      <c r="BT107" s="650">
        <v>82.5</v>
      </c>
      <c r="BU107" s="650">
        <v>82.5</v>
      </c>
      <c r="BV107" s="650">
        <v>76</v>
      </c>
      <c r="BW107" s="650">
        <v>76</v>
      </c>
      <c r="BX107" s="650">
        <v>76</v>
      </c>
      <c r="BY107" s="650">
        <v>76</v>
      </c>
      <c r="BZ107" s="650">
        <v>79.5</v>
      </c>
      <c r="CA107" s="650">
        <v>79.5</v>
      </c>
      <c r="CB107" s="650">
        <v>79.5</v>
      </c>
      <c r="CC107" s="650">
        <v>79.5</v>
      </c>
      <c r="CD107" s="650">
        <v>78.8</v>
      </c>
      <c r="CE107" s="662">
        <v>78.8</v>
      </c>
      <c r="CF107" s="637">
        <v>73.400000000000006</v>
      </c>
      <c r="CG107" s="665">
        <v>71.099999999999994</v>
      </c>
      <c r="CH107" s="662">
        <v>71.099999999999994</v>
      </c>
      <c r="CI107" s="28">
        <v>78.900000000000006</v>
      </c>
      <c r="CJ107" s="144">
        <v>79.8</v>
      </c>
      <c r="CK107" s="144">
        <v>80.8</v>
      </c>
      <c r="CL107" s="132">
        <v>75.2</v>
      </c>
      <c r="CM107" s="146">
        <v>74.7</v>
      </c>
      <c r="CN107" s="132">
        <v>78.900000000000006</v>
      </c>
      <c r="CO107" s="144">
        <v>79.8</v>
      </c>
      <c r="CP107" s="144">
        <v>80.8</v>
      </c>
      <c r="CQ107" s="132">
        <v>75.2</v>
      </c>
      <c r="CR107" s="145">
        <v>74.7</v>
      </c>
    </row>
    <row r="108" spans="1:96" s="7" customFormat="1" ht="15" x14ac:dyDescent="0.3">
      <c r="A108" s="49" t="s">
        <v>4</v>
      </c>
      <c r="B108" s="44" t="s">
        <v>153</v>
      </c>
      <c r="C108" s="120" t="s">
        <v>71</v>
      </c>
      <c r="D108" s="523" t="s">
        <v>52</v>
      </c>
      <c r="E108" s="103">
        <f t="shared" si="23"/>
        <v>75.52000000000001</v>
      </c>
      <c r="F108" s="96">
        <f t="shared" si="24"/>
        <v>0.81599999999999684</v>
      </c>
      <c r="G108" s="96">
        <f t="shared" si="25"/>
        <v>74.5</v>
      </c>
      <c r="H108" s="629">
        <f t="shared" si="26"/>
        <v>76.5</v>
      </c>
      <c r="I108" s="142">
        <v>74.900000000000006</v>
      </c>
      <c r="J108" s="137"/>
      <c r="K108" s="137">
        <v>74.900000000000006</v>
      </c>
      <c r="L108" s="137">
        <v>76.5</v>
      </c>
      <c r="M108" s="137">
        <v>76.5</v>
      </c>
      <c r="N108" s="137">
        <v>74.3</v>
      </c>
      <c r="O108" s="137"/>
      <c r="P108" s="137"/>
      <c r="Q108" s="151">
        <v>74.3</v>
      </c>
      <c r="R108" s="142">
        <v>75.599999999999994</v>
      </c>
      <c r="S108" s="137"/>
      <c r="T108" s="137">
        <v>75.599999999999994</v>
      </c>
      <c r="U108" s="137">
        <v>76.5</v>
      </c>
      <c r="V108" s="137">
        <v>76.5</v>
      </c>
      <c r="W108" s="137">
        <v>74.5</v>
      </c>
      <c r="X108" s="137"/>
      <c r="Y108" s="137"/>
      <c r="Z108" s="151">
        <v>74.5</v>
      </c>
      <c r="AA108" s="142">
        <v>50</v>
      </c>
      <c r="AB108" s="137">
        <v>50</v>
      </c>
      <c r="AC108" s="137">
        <v>50</v>
      </c>
      <c r="AD108" s="137">
        <v>50</v>
      </c>
      <c r="AE108" s="137">
        <v>50</v>
      </c>
      <c r="AF108" s="137">
        <v>50</v>
      </c>
      <c r="AG108" s="137">
        <v>50</v>
      </c>
      <c r="AH108" s="137">
        <v>50</v>
      </c>
      <c r="AI108" s="137">
        <v>48.5</v>
      </c>
      <c r="AJ108" s="137">
        <v>48.5</v>
      </c>
      <c r="AK108" s="151">
        <v>48.5</v>
      </c>
      <c r="AL108" s="647">
        <v>79.2</v>
      </c>
      <c r="AM108" s="671">
        <v>79.2</v>
      </c>
      <c r="AN108" s="671">
        <v>79.2</v>
      </c>
      <c r="AO108" s="671">
        <v>79.2</v>
      </c>
      <c r="AP108" s="671"/>
      <c r="AQ108" s="671"/>
      <c r="AR108" s="671"/>
      <c r="AS108" s="671"/>
      <c r="AT108" s="671"/>
      <c r="AU108" s="671">
        <v>74.3</v>
      </c>
      <c r="AV108" s="671">
        <v>77.7</v>
      </c>
      <c r="AW108" s="671">
        <v>77.7</v>
      </c>
      <c r="AX108" s="671">
        <v>77.7</v>
      </c>
      <c r="AY108" s="671">
        <v>77.7</v>
      </c>
      <c r="AZ108" s="671">
        <v>79.3</v>
      </c>
      <c r="BA108" s="671"/>
      <c r="BB108" s="671"/>
      <c r="BC108" s="671"/>
      <c r="BD108" s="671">
        <v>79.3</v>
      </c>
      <c r="BE108" s="659">
        <v>79.3</v>
      </c>
      <c r="BF108" s="647">
        <v>48.5</v>
      </c>
      <c r="BG108" s="641">
        <v>48.5</v>
      </c>
      <c r="BH108" s="647">
        <v>73.900000000000006</v>
      </c>
      <c r="BI108" s="671">
        <v>73.900000000000006</v>
      </c>
      <c r="BJ108" s="671">
        <v>73.7</v>
      </c>
      <c r="BK108" s="671">
        <v>73.7</v>
      </c>
      <c r="BL108" s="671">
        <v>73.400000000000006</v>
      </c>
      <c r="BM108" s="671">
        <v>73.400000000000006</v>
      </c>
      <c r="BN108" s="671">
        <v>73.400000000000006</v>
      </c>
      <c r="BO108" s="671">
        <v>74.3</v>
      </c>
      <c r="BP108" s="671">
        <v>74.3</v>
      </c>
      <c r="BQ108" s="671">
        <v>74.3</v>
      </c>
      <c r="BR108" s="671">
        <v>74.3</v>
      </c>
      <c r="BS108" s="671">
        <v>74.3</v>
      </c>
      <c r="BT108" s="671">
        <v>74.3</v>
      </c>
      <c r="BU108" s="671">
        <v>74.3</v>
      </c>
      <c r="BV108" s="671">
        <v>75</v>
      </c>
      <c r="BW108" s="671">
        <v>75</v>
      </c>
      <c r="BX108" s="671">
        <v>75</v>
      </c>
      <c r="BY108" s="671">
        <v>75</v>
      </c>
      <c r="BZ108" s="671">
        <v>81.3</v>
      </c>
      <c r="CA108" s="671">
        <v>81.3</v>
      </c>
      <c r="CB108" s="671">
        <v>81.3</v>
      </c>
      <c r="CC108" s="671">
        <v>81.3</v>
      </c>
      <c r="CD108" s="671">
        <v>81.3</v>
      </c>
      <c r="CE108" s="659">
        <v>81.3</v>
      </c>
      <c r="CF108" s="638">
        <v>75.599999999999994</v>
      </c>
      <c r="CG108" s="666">
        <v>75.599999999999994</v>
      </c>
      <c r="CH108" s="659">
        <v>75.599999999999994</v>
      </c>
      <c r="CI108" s="27">
        <v>87.6</v>
      </c>
      <c r="CJ108" s="137">
        <v>83.3</v>
      </c>
      <c r="CK108" s="137">
        <v>83.3</v>
      </c>
      <c r="CL108" s="143">
        <v>73.7</v>
      </c>
      <c r="CM108" s="221">
        <v>73.7</v>
      </c>
      <c r="CN108" s="143">
        <v>87.6</v>
      </c>
      <c r="CO108" s="137">
        <v>83.3</v>
      </c>
      <c r="CP108" s="137">
        <v>83.3</v>
      </c>
      <c r="CQ108" s="143">
        <v>73.7</v>
      </c>
      <c r="CR108" s="138">
        <v>73.7</v>
      </c>
    </row>
    <row r="109" spans="1:96" s="7" customFormat="1" ht="15" x14ac:dyDescent="0.3">
      <c r="A109" s="49" t="s">
        <v>59</v>
      </c>
      <c r="B109" s="44" t="s">
        <v>26</v>
      </c>
      <c r="C109" s="120" t="s">
        <v>69</v>
      </c>
      <c r="D109" s="523" t="s">
        <v>52</v>
      </c>
      <c r="E109" s="101">
        <f t="shared" si="23"/>
        <v>0.135625</v>
      </c>
      <c r="F109" s="97">
        <f t="shared" si="24"/>
        <v>4.1625000000000002E-2</v>
      </c>
      <c r="G109" s="97">
        <f t="shared" si="25"/>
        <v>7.8E-2</v>
      </c>
      <c r="H109" s="627">
        <f t="shared" si="26"/>
        <v>0.19400000000000001</v>
      </c>
      <c r="I109" s="147">
        <v>5.3999999999999999E-2</v>
      </c>
      <c r="J109" s="144">
        <v>6.3E-2</v>
      </c>
      <c r="K109" s="144">
        <v>7.1999999999999995E-2</v>
      </c>
      <c r="L109" s="144">
        <v>8.2000000000000003E-2</v>
      </c>
      <c r="M109" s="144">
        <v>8.2000000000000003E-2</v>
      </c>
      <c r="N109" s="144">
        <v>0.125</v>
      </c>
      <c r="O109" s="144">
        <v>0.13600000000000001</v>
      </c>
      <c r="P109" s="144">
        <v>0.157</v>
      </c>
      <c r="Q109" s="149">
        <v>0.16200000000000001</v>
      </c>
      <c r="R109" s="147">
        <v>6.8000000000000005E-2</v>
      </c>
      <c r="S109" s="144">
        <v>7.8E-2</v>
      </c>
      <c r="T109" s="144">
        <v>8.7999999999999995E-2</v>
      </c>
      <c r="U109" s="144">
        <v>9.4E-2</v>
      </c>
      <c r="V109" s="144">
        <v>0.11600000000000001</v>
      </c>
      <c r="W109" s="144">
        <v>0.158</v>
      </c>
      <c r="X109" s="144">
        <v>0.16800000000000001</v>
      </c>
      <c r="Y109" s="144">
        <v>0.189</v>
      </c>
      <c r="Z109" s="149">
        <v>0.19400000000000001</v>
      </c>
      <c r="AA109" s="147">
        <v>0.08</v>
      </c>
      <c r="AB109" s="144">
        <v>0.08</v>
      </c>
      <c r="AC109" s="144">
        <v>0.124</v>
      </c>
      <c r="AD109" s="144">
        <v>0.124</v>
      </c>
      <c r="AE109" s="144">
        <v>0.09</v>
      </c>
      <c r="AF109" s="144">
        <v>0.14000000000000001</v>
      </c>
      <c r="AG109" s="144">
        <v>0.1</v>
      </c>
      <c r="AH109" s="144">
        <v>0.15</v>
      </c>
      <c r="AI109" s="144">
        <v>0.16200000000000001</v>
      </c>
      <c r="AJ109" s="144">
        <v>0.23</v>
      </c>
      <c r="AK109" s="149">
        <v>0.23</v>
      </c>
      <c r="AL109" s="646">
        <v>0.23499999999999999</v>
      </c>
      <c r="AM109" s="822">
        <v>0.27600000000000002</v>
      </c>
      <c r="AN109" s="822">
        <v>0.27600000000000002</v>
      </c>
      <c r="AO109" s="822">
        <v>0.255</v>
      </c>
      <c r="AP109" s="822">
        <v>0.26800000000000002</v>
      </c>
      <c r="AQ109" s="822">
        <v>0.29299999999999998</v>
      </c>
      <c r="AR109" s="822">
        <v>0.29499999999999998</v>
      </c>
      <c r="AS109" s="822">
        <v>0.33300000000000002</v>
      </c>
      <c r="AT109" s="822">
        <v>0.35699999999999998</v>
      </c>
      <c r="AU109" s="822">
        <v>0.36</v>
      </c>
      <c r="AV109" s="822">
        <v>0.504</v>
      </c>
      <c r="AW109" s="822">
        <v>0.504</v>
      </c>
      <c r="AX109" s="822">
        <v>0.58399999999999996</v>
      </c>
      <c r="AY109" s="822">
        <v>0.58399999999999996</v>
      </c>
      <c r="AZ109" s="822">
        <v>0.62</v>
      </c>
      <c r="BA109" s="822">
        <v>0.62</v>
      </c>
      <c r="BB109" s="822">
        <v>0.73699999999999999</v>
      </c>
      <c r="BC109" s="822">
        <v>0.74099999999999999</v>
      </c>
      <c r="BD109" s="822">
        <v>0.97</v>
      </c>
      <c r="BE109" s="823">
        <v>0.97</v>
      </c>
      <c r="BF109" s="646">
        <v>0.14000000000000001</v>
      </c>
      <c r="BG109" s="642">
        <v>0.15</v>
      </c>
      <c r="BH109" s="645">
        <v>9.1999999999999998E-2</v>
      </c>
      <c r="BI109" s="653">
        <v>0.14099999999999999</v>
      </c>
      <c r="BJ109" s="653">
        <v>0.18</v>
      </c>
      <c r="BK109" s="653">
        <v>0.21099999999999999</v>
      </c>
      <c r="BL109" s="653">
        <v>0.29199999999999998</v>
      </c>
      <c r="BM109" s="653">
        <v>0.39</v>
      </c>
      <c r="BN109" s="653">
        <v>0.39</v>
      </c>
      <c r="BO109" s="653">
        <v>0.22500000000000001</v>
      </c>
      <c r="BP109" s="653">
        <v>0.22500000000000001</v>
      </c>
      <c r="BQ109" s="653">
        <v>0.29499999999999998</v>
      </c>
      <c r="BR109" s="653">
        <v>0.29499999999999998</v>
      </c>
      <c r="BS109" s="653">
        <v>0.34</v>
      </c>
      <c r="BT109" s="653">
        <v>0.36</v>
      </c>
      <c r="BU109" s="653">
        <v>0.36</v>
      </c>
      <c r="BV109" s="653">
        <v>0.91</v>
      </c>
      <c r="BW109" s="653">
        <v>0.91</v>
      </c>
      <c r="BX109" s="653">
        <v>1.1000000000000001</v>
      </c>
      <c r="BY109" s="653">
        <v>1.1000000000000001</v>
      </c>
      <c r="BZ109" s="653">
        <v>0.48299999999999998</v>
      </c>
      <c r="CA109" s="653">
        <v>0.48299999999999998</v>
      </c>
      <c r="CB109" s="653">
        <v>0.48299999999999998</v>
      </c>
      <c r="CC109" s="653">
        <v>0.48299999999999998</v>
      </c>
      <c r="CD109" s="653">
        <v>0.72499999999999998</v>
      </c>
      <c r="CE109" s="658">
        <v>0.72499999999999998</v>
      </c>
      <c r="CF109" s="639">
        <v>8.6999999999999994E-2</v>
      </c>
      <c r="CG109" s="664">
        <v>0.107</v>
      </c>
      <c r="CH109" s="658">
        <v>0.107</v>
      </c>
      <c r="CI109" s="28">
        <v>8.2000000000000003E-2</v>
      </c>
      <c r="CJ109" s="144">
        <v>8.6999999999999994E-2</v>
      </c>
      <c r="CK109" s="144">
        <v>0.107</v>
      </c>
      <c r="CL109" s="132">
        <v>9.8000000000000004E-2</v>
      </c>
      <c r="CM109" s="146">
        <v>0.11600000000000001</v>
      </c>
      <c r="CN109" s="132">
        <v>8.2000000000000003E-2</v>
      </c>
      <c r="CO109" s="144">
        <v>8.6999999999999994E-2</v>
      </c>
      <c r="CP109" s="144">
        <v>0.107</v>
      </c>
      <c r="CQ109" s="132">
        <v>9.8000000000000004E-2</v>
      </c>
      <c r="CR109" s="145">
        <v>0.11600000000000001</v>
      </c>
    </row>
    <row r="110" spans="1:96" s="7" customFormat="1" ht="15" x14ac:dyDescent="0.3">
      <c r="A110" s="49" t="s">
        <v>51</v>
      </c>
      <c r="B110" s="44" t="s">
        <v>27</v>
      </c>
      <c r="C110" s="120" t="s">
        <v>69</v>
      </c>
      <c r="D110" s="523" t="s">
        <v>52</v>
      </c>
      <c r="E110" s="101">
        <f t="shared" si="23"/>
        <v>8.8249999999999995E-2</v>
      </c>
      <c r="F110" s="97">
        <f t="shared" si="24"/>
        <v>2.375E-2</v>
      </c>
      <c r="G110" s="97">
        <f t="shared" si="25"/>
        <v>5.8000000000000003E-2</v>
      </c>
      <c r="H110" s="627">
        <f t="shared" si="26"/>
        <v>0.112</v>
      </c>
      <c r="I110" s="13">
        <v>4.3999999999999997E-2</v>
      </c>
      <c r="J110" s="144">
        <v>4.3999999999999997E-2</v>
      </c>
      <c r="K110" s="144">
        <v>4.3999999999999997E-2</v>
      </c>
      <c r="L110" s="144">
        <v>5.7000000000000002E-2</v>
      </c>
      <c r="M110" s="144">
        <v>5.7000000000000002E-2</v>
      </c>
      <c r="N110" s="144">
        <v>6.7000000000000004E-2</v>
      </c>
      <c r="O110" s="144">
        <v>6.7000000000000004E-2</v>
      </c>
      <c r="P110" s="144">
        <v>6.7000000000000004E-2</v>
      </c>
      <c r="Q110" s="486">
        <v>6.7000000000000004E-2</v>
      </c>
      <c r="R110" s="147">
        <v>5.8000000000000003E-2</v>
      </c>
      <c r="S110" s="144">
        <v>5.8000000000000003E-2</v>
      </c>
      <c r="T110" s="144">
        <v>5.8000000000000003E-2</v>
      </c>
      <c r="U110" s="144">
        <v>7.0999999999999994E-2</v>
      </c>
      <c r="V110" s="144">
        <v>7.0999999999999994E-2</v>
      </c>
      <c r="W110" s="144">
        <v>0.112</v>
      </c>
      <c r="X110" s="144">
        <v>0.112</v>
      </c>
      <c r="Y110" s="127">
        <v>0.112</v>
      </c>
      <c r="Z110" s="149">
        <v>0.112</v>
      </c>
      <c r="AA110" s="13">
        <v>0.05</v>
      </c>
      <c r="AB110" s="144">
        <v>0.05</v>
      </c>
      <c r="AC110" s="144">
        <v>0.05</v>
      </c>
      <c r="AD110" s="144">
        <v>0.05</v>
      </c>
      <c r="AE110" s="144">
        <v>0.06</v>
      </c>
      <c r="AF110" s="144">
        <v>0.06</v>
      </c>
      <c r="AG110" s="144">
        <v>7.0000000000000007E-2</v>
      </c>
      <c r="AH110" s="144">
        <v>7.0000000000000007E-2</v>
      </c>
      <c r="AI110" s="144">
        <v>6.3E-2</v>
      </c>
      <c r="AJ110" s="144">
        <v>6.3E-2</v>
      </c>
      <c r="AK110" s="149">
        <v>6.3E-2</v>
      </c>
      <c r="AL110" s="646">
        <v>0.14099999999999999</v>
      </c>
      <c r="AM110" s="822">
        <v>0.14099999999999999</v>
      </c>
      <c r="AN110" s="822">
        <v>0.14099999999999999</v>
      </c>
      <c r="AO110" s="822">
        <v>0.122</v>
      </c>
      <c r="AP110" s="822">
        <v>0.122</v>
      </c>
      <c r="AQ110" s="822">
        <v>0.122</v>
      </c>
      <c r="AR110" s="822">
        <v>0.122</v>
      </c>
      <c r="AS110" s="822">
        <v>0.122</v>
      </c>
      <c r="AT110" s="822">
        <v>0.122</v>
      </c>
      <c r="AU110" s="822">
        <v>0.122</v>
      </c>
      <c r="AV110" s="822">
        <v>0.39400000000000002</v>
      </c>
      <c r="AW110" s="822">
        <v>0.39400000000000002</v>
      </c>
      <c r="AX110" s="822">
        <v>0.39400000000000002</v>
      </c>
      <c r="AY110" s="822">
        <v>0.39400000000000002</v>
      </c>
      <c r="AZ110" s="822">
        <v>0.28000000000000003</v>
      </c>
      <c r="BA110" s="822">
        <v>0.28000000000000003</v>
      </c>
      <c r="BB110" s="822">
        <v>0.28000000000000003</v>
      </c>
      <c r="BC110" s="822">
        <v>0.28000000000000003</v>
      </c>
      <c r="BD110" s="822">
        <v>0.28000000000000003</v>
      </c>
      <c r="BE110" s="823">
        <v>0.28000000000000003</v>
      </c>
      <c r="BF110" s="646">
        <v>0.06</v>
      </c>
      <c r="BG110" s="642">
        <v>7.0000000000000007E-2</v>
      </c>
      <c r="BH110" s="645">
        <v>6.9000000000000006E-2</v>
      </c>
      <c r="BI110" s="653">
        <v>6.9000000000000006E-2</v>
      </c>
      <c r="BJ110" s="653">
        <v>7.5999999999999998E-2</v>
      </c>
      <c r="BK110" s="653">
        <v>7.5999999999999998E-2</v>
      </c>
      <c r="BL110" s="653">
        <v>0.105</v>
      </c>
      <c r="BM110" s="653">
        <v>0.105</v>
      </c>
      <c r="BN110" s="653">
        <v>0.105</v>
      </c>
      <c r="BO110" s="653">
        <v>0.11</v>
      </c>
      <c r="BP110" s="653">
        <v>0.11</v>
      </c>
      <c r="BQ110" s="653">
        <v>0.11</v>
      </c>
      <c r="BR110" s="653">
        <v>0.11</v>
      </c>
      <c r="BS110" s="653">
        <v>0.11</v>
      </c>
      <c r="BT110" s="653">
        <v>0.11</v>
      </c>
      <c r="BU110" s="653">
        <v>0.11</v>
      </c>
      <c r="BV110" s="653">
        <v>0.3</v>
      </c>
      <c r="BW110" s="653">
        <v>0.3</v>
      </c>
      <c r="BX110" s="653">
        <v>0.39</v>
      </c>
      <c r="BY110" s="653">
        <v>0.39</v>
      </c>
      <c r="BZ110" s="653">
        <v>0.14499999999999999</v>
      </c>
      <c r="CA110" s="653">
        <v>0.14499999999999999</v>
      </c>
      <c r="CB110" s="653">
        <v>0.14499999999999999</v>
      </c>
      <c r="CC110" s="653">
        <v>0.14499999999999999</v>
      </c>
      <c r="CD110" s="653">
        <v>0.14499999999999999</v>
      </c>
      <c r="CE110" s="658">
        <v>0.14499999999999999</v>
      </c>
      <c r="CF110" s="639">
        <v>5.5E-2</v>
      </c>
      <c r="CG110" s="664">
        <v>5.5E-2</v>
      </c>
      <c r="CH110" s="658">
        <v>5.5E-2</v>
      </c>
      <c r="CI110" s="106">
        <v>6.0999999999999999E-2</v>
      </c>
      <c r="CJ110" s="144">
        <v>5.5E-2</v>
      </c>
      <c r="CK110" s="144">
        <v>5.5E-2</v>
      </c>
      <c r="CL110" s="132">
        <v>6.3E-2</v>
      </c>
      <c r="CM110" s="146">
        <v>6.3E-2</v>
      </c>
      <c r="CN110" s="132">
        <v>6.0999999999999999E-2</v>
      </c>
      <c r="CO110" s="144">
        <v>5.5E-2</v>
      </c>
      <c r="CP110" s="144">
        <v>5.5E-2</v>
      </c>
      <c r="CQ110" s="132">
        <v>6.3E-2</v>
      </c>
      <c r="CR110" s="145">
        <v>6.3E-2</v>
      </c>
    </row>
    <row r="111" spans="1:96" s="7" customFormat="1" ht="15" x14ac:dyDescent="0.3">
      <c r="A111" s="51" t="s">
        <v>60</v>
      </c>
      <c r="B111" s="59" t="s">
        <v>28</v>
      </c>
      <c r="C111" s="120" t="s">
        <v>69</v>
      </c>
      <c r="D111" s="523" t="s">
        <v>52</v>
      </c>
      <c r="E111" s="101">
        <f t="shared" si="23"/>
        <v>9.5000000000000015E-3</v>
      </c>
      <c r="F111" s="97">
        <f t="shared" si="24"/>
        <v>2.5000000000000005E-3</v>
      </c>
      <c r="G111" s="97">
        <f t="shared" si="25"/>
        <v>7.0000000000000001E-3</v>
      </c>
      <c r="H111" s="627">
        <f t="shared" si="26"/>
        <v>1.2E-2</v>
      </c>
      <c r="I111" s="16">
        <v>1.2E-2</v>
      </c>
      <c r="J111" s="17">
        <v>1.2E-2</v>
      </c>
      <c r="K111" s="17">
        <v>1.2E-2</v>
      </c>
      <c r="L111" s="17">
        <v>1.2E-2</v>
      </c>
      <c r="M111" s="17">
        <v>1.2E-2</v>
      </c>
      <c r="N111" s="127">
        <v>7.0000000000000001E-3</v>
      </c>
      <c r="O111" s="127">
        <v>7.0000000000000001E-3</v>
      </c>
      <c r="P111" s="127">
        <v>7.0000000000000001E-3</v>
      </c>
      <c r="Q111" s="242">
        <v>7.0000000000000001E-3</v>
      </c>
      <c r="R111" s="16">
        <v>1.2E-2</v>
      </c>
      <c r="S111" s="17">
        <v>1.2E-2</v>
      </c>
      <c r="T111" s="17">
        <v>1.2E-2</v>
      </c>
      <c r="U111" s="17">
        <v>1.2E-2</v>
      </c>
      <c r="V111" s="127">
        <v>1.2E-2</v>
      </c>
      <c r="W111" s="127">
        <v>7.0000000000000001E-3</v>
      </c>
      <c r="X111" s="127">
        <v>7.0000000000000001E-3</v>
      </c>
      <c r="Y111" s="17">
        <v>7.0000000000000001E-3</v>
      </c>
      <c r="Z111" s="242">
        <v>7.0000000000000001E-3</v>
      </c>
      <c r="AA111" s="16">
        <v>4.0000000000000001E-3</v>
      </c>
      <c r="AB111" s="17">
        <v>4.0000000000000001E-3</v>
      </c>
      <c r="AC111" s="17">
        <v>4.0000000000000001E-3</v>
      </c>
      <c r="AD111" s="17">
        <v>4.0000000000000001E-3</v>
      </c>
      <c r="AE111" s="17">
        <v>4.0000000000000001E-3</v>
      </c>
      <c r="AF111" s="127">
        <v>4.0000000000000001E-3</v>
      </c>
      <c r="AG111" s="127">
        <v>4.0000000000000001E-3</v>
      </c>
      <c r="AH111" s="127">
        <v>4.0000000000000001E-3</v>
      </c>
      <c r="AI111" s="127">
        <v>0.04</v>
      </c>
      <c r="AJ111" s="127">
        <v>0.04</v>
      </c>
      <c r="AK111" s="486">
        <v>0.04</v>
      </c>
      <c r="AL111" s="645">
        <v>1.7000000000000001E-2</v>
      </c>
      <c r="AM111" s="653">
        <v>1.7000000000000001E-2</v>
      </c>
      <c r="AN111" s="653">
        <v>1.7000000000000001E-2</v>
      </c>
      <c r="AO111" s="653">
        <v>1.6E-2</v>
      </c>
      <c r="AP111" s="653">
        <v>1.6E-2</v>
      </c>
      <c r="AQ111" s="653">
        <v>1.6E-2</v>
      </c>
      <c r="AR111" s="653">
        <v>1.6E-2</v>
      </c>
      <c r="AS111" s="653">
        <v>1.6E-2</v>
      </c>
      <c r="AT111" s="653">
        <v>1.6E-2</v>
      </c>
      <c r="AU111" s="653">
        <v>1.6E-2</v>
      </c>
      <c r="AV111" s="653">
        <v>1.7999999999999999E-2</v>
      </c>
      <c r="AW111" s="653">
        <v>1.7999999999999999E-2</v>
      </c>
      <c r="AX111" s="653">
        <v>1.7999999999999999E-2</v>
      </c>
      <c r="AY111" s="653">
        <v>1.7999999999999999E-2</v>
      </c>
      <c r="AZ111" s="653">
        <v>1.7999999999999999E-2</v>
      </c>
      <c r="BA111" s="653">
        <v>1.7999999999999999E-2</v>
      </c>
      <c r="BB111" s="653">
        <v>1.7999999999999999E-2</v>
      </c>
      <c r="BC111" s="653">
        <v>1.7999999999999999E-2</v>
      </c>
      <c r="BD111" s="653">
        <v>1.7999999999999999E-2</v>
      </c>
      <c r="BE111" s="658">
        <v>1.7999999999999999E-2</v>
      </c>
      <c r="BF111" s="645">
        <v>4.0000000000000001E-3</v>
      </c>
      <c r="BG111" s="656">
        <v>4.0000000000000001E-3</v>
      </c>
      <c r="BH111" s="645">
        <v>1.7000000000000001E-2</v>
      </c>
      <c r="BI111" s="653">
        <v>1.7000000000000001E-2</v>
      </c>
      <c r="BJ111" s="653">
        <v>1.7000000000000001E-2</v>
      </c>
      <c r="BK111" s="653">
        <v>1.7000000000000001E-2</v>
      </c>
      <c r="BL111" s="653">
        <v>1.7000000000000001E-2</v>
      </c>
      <c r="BM111" s="653">
        <v>1.7000000000000001E-2</v>
      </c>
      <c r="BN111" s="653">
        <v>1.7000000000000001E-2</v>
      </c>
      <c r="BO111" s="653">
        <v>1.7000000000000001E-2</v>
      </c>
      <c r="BP111" s="653">
        <v>1.7000000000000001E-2</v>
      </c>
      <c r="BQ111" s="653">
        <v>1.7000000000000001E-2</v>
      </c>
      <c r="BR111" s="653">
        <v>1.7000000000000001E-2</v>
      </c>
      <c r="BS111" s="653">
        <v>1.7000000000000001E-2</v>
      </c>
      <c r="BT111" s="653">
        <v>1.7000000000000001E-2</v>
      </c>
      <c r="BU111" s="653">
        <v>1.7000000000000001E-2</v>
      </c>
      <c r="BV111" s="653">
        <v>1.7000000000000001E-2</v>
      </c>
      <c r="BW111" s="653">
        <v>1.7000000000000001E-2</v>
      </c>
      <c r="BX111" s="653">
        <v>1.7000000000000001E-2</v>
      </c>
      <c r="BY111" s="653">
        <v>1.7000000000000001E-2</v>
      </c>
      <c r="BZ111" s="653">
        <v>1.7000000000000001E-2</v>
      </c>
      <c r="CA111" s="653">
        <v>1.7000000000000001E-2</v>
      </c>
      <c r="CB111" s="653">
        <v>1.7000000000000001E-2</v>
      </c>
      <c r="CC111" s="653">
        <v>1.7000000000000001E-2</v>
      </c>
      <c r="CD111" s="653">
        <v>1.7000000000000001E-2</v>
      </c>
      <c r="CE111" s="658">
        <v>1.7000000000000001E-2</v>
      </c>
      <c r="CF111" s="639">
        <v>8.9999999999999993E-3</v>
      </c>
      <c r="CG111" s="664">
        <v>8.9999999999999993E-3</v>
      </c>
      <c r="CH111" s="658">
        <v>8.9999999999999993E-3</v>
      </c>
      <c r="CI111" s="16">
        <v>1.4999999999999999E-2</v>
      </c>
      <c r="CJ111" s="129">
        <v>1.4999999999999999E-2</v>
      </c>
      <c r="CK111" s="129">
        <v>1.4999999999999999E-2</v>
      </c>
      <c r="CL111" s="127">
        <v>1.7000000000000001E-2</v>
      </c>
      <c r="CM111" s="466">
        <v>1.7000000000000001E-2</v>
      </c>
      <c r="CN111" s="129">
        <v>1.4999999999999999E-2</v>
      </c>
      <c r="CO111" s="129">
        <v>1.4999999999999999E-2</v>
      </c>
      <c r="CP111" s="127">
        <v>1.4999999999999999E-2</v>
      </c>
      <c r="CQ111" s="129">
        <v>1.7000000000000001E-2</v>
      </c>
      <c r="CR111" s="466">
        <v>1.7000000000000001E-2</v>
      </c>
    </row>
    <row r="112" spans="1:96" s="7" customFormat="1" ht="15" x14ac:dyDescent="0.3">
      <c r="A112" s="49" t="s">
        <v>17</v>
      </c>
      <c r="B112" s="44" t="s">
        <v>101</v>
      </c>
      <c r="C112" s="120" t="s">
        <v>70</v>
      </c>
      <c r="D112" s="523" t="s">
        <v>52</v>
      </c>
      <c r="E112" s="101">
        <f t="shared" si="23"/>
        <v>0.94287499999999991</v>
      </c>
      <c r="F112" s="97">
        <f t="shared" si="24"/>
        <v>6.3749999999999779E-3</v>
      </c>
      <c r="G112" s="97">
        <f t="shared" si="25"/>
        <v>0.93300000000000005</v>
      </c>
      <c r="H112" s="627">
        <f t="shared" si="26"/>
        <v>0.95399999999999996</v>
      </c>
      <c r="I112" s="139">
        <v>0.95699999999999996</v>
      </c>
      <c r="J112" s="140">
        <v>0.94899999999999995</v>
      </c>
      <c r="K112" s="140">
        <v>0.94</v>
      </c>
      <c r="L112" s="140">
        <v>0.94499999999999995</v>
      </c>
      <c r="M112" s="140">
        <v>0.93400000000000005</v>
      </c>
      <c r="N112" s="140">
        <v>0.95399999999999996</v>
      </c>
      <c r="O112" s="140">
        <v>0.94899999999999995</v>
      </c>
      <c r="P112" s="140">
        <v>0.94</v>
      </c>
      <c r="Q112" s="150">
        <v>0.93700000000000006</v>
      </c>
      <c r="R112" s="139">
        <v>0.95699999999999996</v>
      </c>
      <c r="S112" s="140">
        <v>0.94899999999999995</v>
      </c>
      <c r="T112" s="140">
        <v>0.94</v>
      </c>
      <c r="U112" s="140">
        <v>0.94499999999999995</v>
      </c>
      <c r="V112" s="140">
        <v>0.93300000000000005</v>
      </c>
      <c r="W112" s="140">
        <v>0.95399999999999996</v>
      </c>
      <c r="X112" s="140">
        <v>0.94899999999999995</v>
      </c>
      <c r="Y112" s="140">
        <v>0.93799999999999994</v>
      </c>
      <c r="Z112" s="150">
        <v>0.93500000000000005</v>
      </c>
      <c r="AA112" s="139">
        <v>1.0640000000000001</v>
      </c>
      <c r="AB112" s="140">
        <v>1.0640000000000001</v>
      </c>
      <c r="AC112" s="140">
        <v>1.0669999999999999</v>
      </c>
      <c r="AD112" s="140">
        <v>1.0669999999999999</v>
      </c>
      <c r="AE112" s="140">
        <v>1.0660000000000001</v>
      </c>
      <c r="AF112" s="140">
        <v>1.0669999999999999</v>
      </c>
      <c r="AG112" s="140">
        <v>1.06</v>
      </c>
      <c r="AH112" s="140">
        <v>1.0609999999999999</v>
      </c>
      <c r="AI112" s="140">
        <v>1.032</v>
      </c>
      <c r="AJ112" s="140">
        <v>1.0249999999999999</v>
      </c>
      <c r="AK112" s="150">
        <v>1.0249999999999999</v>
      </c>
      <c r="AL112" s="645">
        <v>0.93799999999999994</v>
      </c>
      <c r="AM112" s="653">
        <v>0.92400000000000004</v>
      </c>
      <c r="AN112" s="653">
        <v>0.92400000000000004</v>
      </c>
      <c r="AO112" s="653">
        <v>0.95099999999999996</v>
      </c>
      <c r="AP112" s="653">
        <v>0.94899999999999995</v>
      </c>
      <c r="AQ112" s="653">
        <v>0.94599999999999995</v>
      </c>
      <c r="AR112" s="653">
        <v>0.94599999999999995</v>
      </c>
      <c r="AS112" s="653">
        <v>0.94099999999999995</v>
      </c>
      <c r="AT112" s="653">
        <v>0.93799999999999994</v>
      </c>
      <c r="AU112" s="653">
        <v>0.93799999999999994</v>
      </c>
      <c r="AV112" s="653">
        <v>0.95099999999999996</v>
      </c>
      <c r="AW112" s="653">
        <v>0.95099999999999996</v>
      </c>
      <c r="AX112" s="653">
        <v>0.94299999999999995</v>
      </c>
      <c r="AY112" s="653">
        <v>0.94299999999999995</v>
      </c>
      <c r="AZ112" s="653">
        <v>0.94699999999999995</v>
      </c>
      <c r="BA112" s="653">
        <v>0.94699999999999995</v>
      </c>
      <c r="BB112" s="653">
        <v>0.94399999999999995</v>
      </c>
      <c r="BC112" s="653">
        <v>0.94399999999999995</v>
      </c>
      <c r="BD112" s="653">
        <v>0.93700000000000006</v>
      </c>
      <c r="BE112" s="658">
        <v>0.93700000000000006</v>
      </c>
      <c r="BF112" s="645">
        <v>1.054</v>
      </c>
      <c r="BG112" s="656">
        <v>1.0529999999999999</v>
      </c>
      <c r="BH112" s="645">
        <v>0.93500000000000005</v>
      </c>
      <c r="BI112" s="653">
        <v>0.92300000000000004</v>
      </c>
      <c r="BJ112" s="653">
        <v>0.93400000000000005</v>
      </c>
      <c r="BK112" s="653">
        <v>0.93100000000000005</v>
      </c>
      <c r="BL112" s="653">
        <v>0.92700000000000005</v>
      </c>
      <c r="BM112" s="653">
        <v>0.92700000000000005</v>
      </c>
      <c r="BN112" s="653">
        <v>0.92700000000000005</v>
      </c>
      <c r="BO112" s="653">
        <v>0.94399999999999995</v>
      </c>
      <c r="BP112" s="653">
        <v>0.94499999999999995</v>
      </c>
      <c r="BQ112" s="653">
        <v>0.93600000000000005</v>
      </c>
      <c r="BR112" s="653">
        <v>0.93600000000000005</v>
      </c>
      <c r="BS112" s="653">
        <v>0.92300000000000004</v>
      </c>
      <c r="BT112" s="653">
        <v>0.91800000000000004</v>
      </c>
      <c r="BU112" s="653">
        <v>0.91800000000000004</v>
      </c>
      <c r="BV112" s="653">
        <v>0.91300000000000003</v>
      </c>
      <c r="BW112" s="653">
        <v>0.91300000000000003</v>
      </c>
      <c r="BX112" s="653">
        <v>0.91</v>
      </c>
      <c r="BY112" s="653">
        <v>0.91</v>
      </c>
      <c r="BZ112" s="653">
        <v>0.93400000000000005</v>
      </c>
      <c r="CA112" s="653">
        <v>0.93400000000000005</v>
      </c>
      <c r="CB112" s="653">
        <v>0.93400000000000005</v>
      </c>
      <c r="CC112" s="653">
        <v>0.93400000000000005</v>
      </c>
      <c r="CD112" s="653">
        <v>0.93</v>
      </c>
      <c r="CE112" s="658">
        <v>0.93</v>
      </c>
      <c r="CF112" s="639">
        <v>0.93100000000000005</v>
      </c>
      <c r="CG112" s="664">
        <v>0.93700000000000006</v>
      </c>
      <c r="CH112" s="658">
        <v>0.93700000000000006</v>
      </c>
      <c r="CI112" s="139">
        <v>0.91800000000000004</v>
      </c>
      <c r="CJ112" s="140">
        <v>0.90600000000000003</v>
      </c>
      <c r="CK112" s="140">
        <v>0.91200000000000003</v>
      </c>
      <c r="CL112" s="140">
        <v>0.91800000000000004</v>
      </c>
      <c r="CM112" s="224">
        <v>0.92500000000000004</v>
      </c>
      <c r="CN112" s="141">
        <v>0.91800000000000004</v>
      </c>
      <c r="CO112" s="140">
        <v>0.90600000000000003</v>
      </c>
      <c r="CP112" s="140">
        <v>0.91200000000000003</v>
      </c>
      <c r="CQ112" s="141">
        <v>0.91800000000000004</v>
      </c>
      <c r="CR112" s="224">
        <v>0.92500000000000004</v>
      </c>
    </row>
    <row r="113" spans="1:157" s="7" customFormat="1" ht="15.6" thickBot="1" x14ac:dyDescent="0.35">
      <c r="A113" s="53" t="s">
        <v>18</v>
      </c>
      <c r="B113" s="61" t="s">
        <v>102</v>
      </c>
      <c r="C113" s="121" t="s">
        <v>70</v>
      </c>
      <c r="D113" s="524" t="s">
        <v>52</v>
      </c>
      <c r="E113" s="104">
        <f t="shared" si="23"/>
        <v>0.94849999999999979</v>
      </c>
      <c r="F113" s="105">
        <f t="shared" si="24"/>
        <v>5.5000000000000049E-3</v>
      </c>
      <c r="G113" s="105">
        <f t="shared" si="25"/>
        <v>0.94</v>
      </c>
      <c r="H113" s="630">
        <f t="shared" si="26"/>
        <v>0.95399999999999996</v>
      </c>
      <c r="I113" s="20">
        <v>0.94</v>
      </c>
      <c r="J113" s="11">
        <v>0.94</v>
      </c>
      <c r="K113" s="11">
        <v>0.94</v>
      </c>
      <c r="L113" s="11">
        <v>0.94599999999999995</v>
      </c>
      <c r="M113" s="11">
        <v>0.94599999999999995</v>
      </c>
      <c r="N113" s="11">
        <v>0.95399999999999996</v>
      </c>
      <c r="O113" s="11">
        <v>0.95399999999999996</v>
      </c>
      <c r="P113" s="11">
        <v>0.95399999999999996</v>
      </c>
      <c r="Q113" s="30">
        <v>0.95399999999999996</v>
      </c>
      <c r="R113" s="20">
        <v>0.94</v>
      </c>
      <c r="S113" s="11">
        <v>0.94</v>
      </c>
      <c r="T113" s="11">
        <v>0.94</v>
      </c>
      <c r="U113" s="11">
        <v>0.94599999999999995</v>
      </c>
      <c r="V113" s="11">
        <v>0.94599999999999995</v>
      </c>
      <c r="W113" s="11">
        <v>0.95399999999999996</v>
      </c>
      <c r="X113" s="11">
        <v>0.95399999999999996</v>
      </c>
      <c r="Y113" s="11">
        <v>0.95399999999999996</v>
      </c>
      <c r="Z113" s="30">
        <v>0.95399999999999996</v>
      </c>
      <c r="AA113" s="20">
        <v>1.046</v>
      </c>
      <c r="AB113" s="11">
        <v>1.046</v>
      </c>
      <c r="AC113" s="11">
        <v>1.046</v>
      </c>
      <c r="AD113" s="11">
        <v>1.046</v>
      </c>
      <c r="AE113" s="11">
        <v>1.054</v>
      </c>
      <c r="AF113" s="11">
        <v>1.054</v>
      </c>
      <c r="AG113" s="11">
        <v>1.052</v>
      </c>
      <c r="AH113" s="11">
        <v>1.052</v>
      </c>
      <c r="AI113" s="11">
        <v>1.0429999999999999</v>
      </c>
      <c r="AJ113" s="11">
        <v>1.0429999999999999</v>
      </c>
      <c r="AK113" s="30">
        <v>1.0429999999999999</v>
      </c>
      <c r="AL113" s="644">
        <v>0.94499999999999995</v>
      </c>
      <c r="AM113" s="673">
        <v>0.94499999999999995</v>
      </c>
      <c r="AN113" s="673">
        <v>0.94499999999999995</v>
      </c>
      <c r="AO113" s="673">
        <v>0.94799999999999995</v>
      </c>
      <c r="AP113" s="673">
        <v>0.94799999999999995</v>
      </c>
      <c r="AQ113" s="673">
        <v>0.94799999999999995</v>
      </c>
      <c r="AR113" s="673">
        <v>0.94799999999999995</v>
      </c>
      <c r="AS113" s="673">
        <v>0.94799999999999995</v>
      </c>
      <c r="AT113" s="673">
        <v>0.94799999999999995</v>
      </c>
      <c r="AU113" s="673">
        <v>0.94799999999999995</v>
      </c>
      <c r="AV113" s="673">
        <v>0.95699999999999996</v>
      </c>
      <c r="AW113" s="673">
        <v>0.95699999999999996</v>
      </c>
      <c r="AX113" s="673">
        <v>0.95699999999999996</v>
      </c>
      <c r="AY113" s="673">
        <v>0.95699999999999996</v>
      </c>
      <c r="AZ113" s="673">
        <v>0.95299999999999996</v>
      </c>
      <c r="BA113" s="673">
        <v>0.95299999999999996</v>
      </c>
      <c r="BB113" s="673">
        <v>0.95299999999999996</v>
      </c>
      <c r="BC113" s="673">
        <v>0.95299999999999996</v>
      </c>
      <c r="BD113" s="673">
        <v>0.95299999999999996</v>
      </c>
      <c r="BE113" s="660">
        <v>0.95299999999999996</v>
      </c>
      <c r="BF113" s="644">
        <v>1.0529999999999999</v>
      </c>
      <c r="BG113" s="651">
        <v>1.0529999999999999</v>
      </c>
      <c r="BH113" s="644">
        <v>0.91700000000000004</v>
      </c>
      <c r="BI113" s="673">
        <v>0.91700000000000004</v>
      </c>
      <c r="BJ113" s="673">
        <v>0.93799999999999994</v>
      </c>
      <c r="BK113" s="673">
        <v>0.93799999999999994</v>
      </c>
      <c r="BL113" s="673">
        <v>0.93300000000000005</v>
      </c>
      <c r="BM113" s="673">
        <v>0.93300000000000005</v>
      </c>
      <c r="BN113" s="673">
        <v>0.93300000000000005</v>
      </c>
      <c r="BO113" s="673">
        <v>0.94699999999999995</v>
      </c>
      <c r="BP113" s="673">
        <v>0.94699999999999995</v>
      </c>
      <c r="BQ113" s="673">
        <v>0.94699999999999995</v>
      </c>
      <c r="BR113" s="673">
        <v>0.94699999999999995</v>
      </c>
      <c r="BS113" s="673">
        <v>0.94699999999999995</v>
      </c>
      <c r="BT113" s="673">
        <v>0.94699999999999995</v>
      </c>
      <c r="BU113" s="673">
        <v>0.94699999999999995</v>
      </c>
      <c r="BV113" s="673">
        <v>0.92200000000000004</v>
      </c>
      <c r="BW113" s="673">
        <v>0.92200000000000004</v>
      </c>
      <c r="BX113" s="673">
        <v>0.92200000000000004</v>
      </c>
      <c r="BY113" s="673">
        <v>0.92200000000000004</v>
      </c>
      <c r="BZ113" s="673">
        <v>0.93700000000000006</v>
      </c>
      <c r="CA113" s="673">
        <v>0.93700000000000006</v>
      </c>
      <c r="CB113" s="673">
        <v>0.93700000000000006</v>
      </c>
      <c r="CC113" s="673">
        <v>0.93700000000000006</v>
      </c>
      <c r="CD113" s="673">
        <v>0.93700000000000006</v>
      </c>
      <c r="CE113" s="660">
        <v>0.93700000000000006</v>
      </c>
      <c r="CF113" s="643">
        <v>0.91200000000000003</v>
      </c>
      <c r="CG113" s="667">
        <v>0.91200000000000003</v>
      </c>
      <c r="CH113" s="660">
        <v>0.91200000000000003</v>
      </c>
      <c r="CI113" s="20">
        <v>0.90400000000000003</v>
      </c>
      <c r="CJ113" s="11">
        <v>0.90100000000000002</v>
      </c>
      <c r="CK113" s="11">
        <v>0.90100000000000002</v>
      </c>
      <c r="CL113" s="108">
        <v>0.91500000000000004</v>
      </c>
      <c r="CM113" s="12">
        <v>0.91500000000000004</v>
      </c>
      <c r="CN113" s="503">
        <v>0.90400000000000003</v>
      </c>
      <c r="CO113" s="11">
        <v>0.90100000000000002</v>
      </c>
      <c r="CP113" s="11">
        <v>0.90100000000000002</v>
      </c>
      <c r="CQ113" s="108">
        <v>0.91500000000000004</v>
      </c>
      <c r="CR113" s="109">
        <v>0.91500000000000004</v>
      </c>
    </row>
    <row r="114" spans="1:157" s="7" customFormat="1" ht="25.05" customHeight="1" thickBot="1" x14ac:dyDescent="0.35">
      <c r="A114" s="470"/>
      <c r="B114" s="470"/>
      <c r="C114" s="471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Q114" s="471"/>
      <c r="R114" s="471"/>
      <c r="S114" s="471"/>
      <c r="T114" s="471"/>
      <c r="U114" s="471"/>
      <c r="V114" s="471"/>
      <c r="W114" s="471"/>
      <c r="X114" s="471"/>
      <c r="Y114" s="471"/>
      <c r="Z114" s="471"/>
      <c r="AA114" s="471"/>
      <c r="AB114" s="471"/>
      <c r="AC114" s="471"/>
      <c r="AD114" s="471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</row>
    <row r="115" spans="1:157" s="37" customFormat="1" ht="16.2" hidden="1" thickBot="1" x14ac:dyDescent="0.35">
      <c r="A115" s="115" t="s">
        <v>514</v>
      </c>
      <c r="B115" s="116"/>
      <c r="C115" s="116"/>
      <c r="D115" s="375" t="str">
        <f>A115</f>
        <v>Heizomat</v>
      </c>
      <c r="E115" s="882" t="str">
        <f>A115</f>
        <v>Heizomat</v>
      </c>
      <c r="F115" s="883"/>
      <c r="G115" s="883" t="s">
        <v>80</v>
      </c>
      <c r="H115" s="884"/>
      <c r="I115" s="1043" t="str">
        <f>A115</f>
        <v>Heizomat</v>
      </c>
      <c r="J115" s="1044"/>
      <c r="K115" s="1044"/>
      <c r="L115" s="1044"/>
      <c r="M115" s="1044"/>
      <c r="N115" s="1044"/>
      <c r="O115" s="1047"/>
      <c r="P115" s="1043"/>
      <c r="Q115" s="1044"/>
      <c r="R115" s="1047"/>
      <c r="S115" s="1044"/>
      <c r="T115" s="1044"/>
      <c r="U115" s="1044"/>
      <c r="V115" s="1044"/>
      <c r="W115" s="1044"/>
      <c r="X115" s="1044"/>
      <c r="Y115" s="1044"/>
      <c r="Z115" s="1047"/>
      <c r="AA115" s="864"/>
      <c r="AB115" s="865"/>
      <c r="AC115" s="865"/>
      <c r="AD115" s="865"/>
      <c r="AE115" s="866"/>
      <c r="AF115" s="864"/>
      <c r="AG115" s="866"/>
      <c r="AH115" s="864"/>
      <c r="AI115" s="865"/>
      <c r="AJ115" s="865"/>
      <c r="AK115" s="865"/>
      <c r="AL115" s="865"/>
      <c r="AM115" s="865"/>
      <c r="AN115" s="865"/>
      <c r="AO115" s="865"/>
      <c r="AP115" s="865"/>
      <c r="AQ115" s="865"/>
      <c r="AR115" s="866"/>
      <c r="AS115" s="312"/>
      <c r="AT115" s="864"/>
      <c r="AU115" s="865"/>
      <c r="AV115" s="865"/>
      <c r="AW115" s="866"/>
      <c r="AX115" s="864"/>
      <c r="AY115" s="865"/>
      <c r="AZ115" s="865"/>
      <c r="BA115" s="865"/>
      <c r="BB115" s="865"/>
      <c r="BC115" s="865"/>
      <c r="BD115" s="866"/>
      <c r="BE115" s="232"/>
      <c r="BF115" s="1043"/>
      <c r="BG115" s="1047"/>
      <c r="BH115" s="1044"/>
      <c r="BI115" s="1044"/>
      <c r="BJ115" s="1044"/>
      <c r="BK115" s="1044"/>
      <c r="BL115" s="1044"/>
      <c r="BM115" s="1044"/>
      <c r="BN115" s="1047"/>
      <c r="BO115" s="865"/>
      <c r="BP115" s="866"/>
      <c r="BQ115" s="502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</row>
    <row r="116" spans="1:157" s="7" customFormat="1" ht="28.2" hidden="1" thickBot="1" x14ac:dyDescent="0.35">
      <c r="A116" s="1025">
        <f>COUNTA(I116:CA116)</f>
        <v>7</v>
      </c>
      <c r="B116" s="1025"/>
      <c r="C116" s="1026"/>
      <c r="D116" s="261" t="s">
        <v>0</v>
      </c>
      <c r="E116" s="110" t="s">
        <v>31</v>
      </c>
      <c r="F116" s="573" t="s">
        <v>512</v>
      </c>
      <c r="G116" s="111" t="s">
        <v>57</v>
      </c>
      <c r="H116" s="112" t="s">
        <v>58</v>
      </c>
      <c r="I116" s="397" t="s">
        <v>81</v>
      </c>
      <c r="J116" s="396" t="s">
        <v>82</v>
      </c>
      <c r="K116" s="396" t="s">
        <v>83</v>
      </c>
      <c r="L116" s="396" t="s">
        <v>84</v>
      </c>
      <c r="M116" s="396" t="s">
        <v>85</v>
      </c>
      <c r="N116" s="396" t="s">
        <v>86</v>
      </c>
      <c r="O116" s="404" t="s">
        <v>87</v>
      </c>
      <c r="P116" s="401"/>
      <c r="Q116" s="402"/>
      <c r="R116" s="399"/>
      <c r="S116" s="514"/>
      <c r="T116" s="402"/>
      <c r="U116" s="402"/>
      <c r="V116" s="402"/>
      <c r="W116" s="402"/>
      <c r="X116" s="402"/>
      <c r="Y116" s="402"/>
      <c r="Z116" s="399"/>
      <c r="AA116" s="164"/>
      <c r="AB116" s="165"/>
      <c r="AC116" s="165"/>
      <c r="AD116" s="165"/>
      <c r="AE116" s="166"/>
      <c r="AF116" s="403"/>
      <c r="AG116" s="469"/>
      <c r="AH116" s="408"/>
      <c r="AI116" s="405"/>
      <c r="AJ116" s="405"/>
      <c r="AK116" s="405"/>
      <c r="AL116" s="405"/>
      <c r="AM116" s="405"/>
      <c r="AN116" s="405"/>
      <c r="AO116" s="405"/>
      <c r="AP116" s="405"/>
      <c r="AQ116" s="405"/>
      <c r="AR116" s="406"/>
      <c r="AS116" s="515"/>
      <c r="AT116" s="408"/>
      <c r="AU116" s="405"/>
      <c r="AV116" s="405"/>
      <c r="AW116" s="406"/>
      <c r="AX116" s="408"/>
      <c r="AY116" s="405"/>
      <c r="AZ116" s="405"/>
      <c r="BA116" s="405"/>
      <c r="BB116" s="405"/>
      <c r="BC116" s="405"/>
      <c r="BD116" s="406"/>
      <c r="BE116" s="407"/>
      <c r="BF116" s="401"/>
      <c r="BG116" s="399"/>
      <c r="BH116" s="395"/>
      <c r="BI116" s="405"/>
      <c r="BJ116" s="405"/>
      <c r="BK116" s="405"/>
      <c r="BL116" s="405"/>
      <c r="BM116" s="405"/>
      <c r="BN116" s="393"/>
      <c r="BO116" s="164"/>
      <c r="BP116" s="322"/>
      <c r="BQ116" s="407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</row>
    <row r="117" spans="1:157" s="7" customFormat="1" ht="15" hidden="1" customHeight="1" thickBot="1" x14ac:dyDescent="0.35">
      <c r="A117" s="1027"/>
      <c r="B117" s="1027"/>
      <c r="C117" s="1028"/>
      <c r="D117" s="117" t="s">
        <v>33</v>
      </c>
      <c r="E117" s="971" t="s">
        <v>513</v>
      </c>
      <c r="F117" s="972"/>
      <c r="G117" s="972"/>
      <c r="H117" s="973"/>
      <c r="I117" s="852" t="s">
        <v>29</v>
      </c>
      <c r="J117" s="853"/>
      <c r="K117" s="853"/>
      <c r="L117" s="853"/>
      <c r="M117" s="853"/>
      <c r="N117" s="853"/>
      <c r="O117" s="854"/>
      <c r="P117" s="852"/>
      <c r="Q117" s="853"/>
      <c r="R117" s="854"/>
      <c r="S117" s="853"/>
      <c r="T117" s="853"/>
      <c r="U117" s="853"/>
      <c r="V117" s="853"/>
      <c r="W117" s="853"/>
      <c r="X117" s="853"/>
      <c r="Y117" s="853"/>
      <c r="Z117" s="854"/>
      <c r="AA117" s="858"/>
      <c r="AB117" s="859"/>
      <c r="AC117" s="859"/>
      <c r="AD117" s="859"/>
      <c r="AE117" s="860"/>
      <c r="AF117" s="852"/>
      <c r="AG117" s="854"/>
      <c r="AH117" s="852"/>
      <c r="AI117" s="853"/>
      <c r="AJ117" s="853"/>
      <c r="AK117" s="853"/>
      <c r="AL117" s="853"/>
      <c r="AM117" s="853"/>
      <c r="AN117" s="853"/>
      <c r="AO117" s="853"/>
      <c r="AP117" s="853"/>
      <c r="AQ117" s="853"/>
      <c r="AR117" s="854"/>
      <c r="AS117" s="854"/>
      <c r="AT117" s="1004"/>
      <c r="AU117" s="1005"/>
      <c r="AV117" s="1005"/>
      <c r="AW117" s="1006"/>
      <c r="AX117" s="1004"/>
      <c r="AY117" s="1005"/>
      <c r="AZ117" s="1005"/>
      <c r="BA117" s="1005"/>
      <c r="BB117" s="1005"/>
      <c r="BC117" s="1005"/>
      <c r="BD117" s="1006"/>
      <c r="BE117" s="952"/>
      <c r="BF117" s="852"/>
      <c r="BG117" s="854"/>
      <c r="BH117" s="853"/>
      <c r="BI117" s="853"/>
      <c r="BJ117" s="853"/>
      <c r="BK117" s="853"/>
      <c r="BL117" s="853"/>
      <c r="BM117" s="853"/>
      <c r="BN117" s="854"/>
      <c r="BO117" s="852"/>
      <c r="BP117" s="854"/>
      <c r="BQ117" s="974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</row>
    <row r="118" spans="1:157" s="7" customFormat="1" ht="15" hidden="1" customHeight="1" thickBot="1" x14ac:dyDescent="0.35">
      <c r="A118" s="57" t="s">
        <v>54</v>
      </c>
      <c r="B118" s="122" t="s">
        <v>55</v>
      </c>
      <c r="C118" s="62" t="s">
        <v>1</v>
      </c>
      <c r="D118" s="118" t="s">
        <v>32</v>
      </c>
      <c r="E118" s="971"/>
      <c r="F118" s="972"/>
      <c r="G118" s="972"/>
      <c r="H118" s="973"/>
      <c r="I118" s="855"/>
      <c r="J118" s="856"/>
      <c r="K118" s="856"/>
      <c r="L118" s="856"/>
      <c r="M118" s="856"/>
      <c r="N118" s="856"/>
      <c r="O118" s="857"/>
      <c r="P118" s="855"/>
      <c r="Q118" s="856"/>
      <c r="R118" s="857"/>
      <c r="S118" s="856"/>
      <c r="T118" s="856"/>
      <c r="U118" s="856"/>
      <c r="V118" s="856"/>
      <c r="W118" s="856"/>
      <c r="X118" s="856"/>
      <c r="Y118" s="856"/>
      <c r="Z118" s="857"/>
      <c r="AA118" s="861"/>
      <c r="AB118" s="862"/>
      <c r="AC118" s="862"/>
      <c r="AD118" s="862"/>
      <c r="AE118" s="863"/>
      <c r="AF118" s="855"/>
      <c r="AG118" s="857"/>
      <c r="AH118" s="855"/>
      <c r="AI118" s="856"/>
      <c r="AJ118" s="856"/>
      <c r="AK118" s="856"/>
      <c r="AL118" s="856"/>
      <c r="AM118" s="856"/>
      <c r="AN118" s="856"/>
      <c r="AO118" s="856"/>
      <c r="AP118" s="856"/>
      <c r="AQ118" s="856"/>
      <c r="AR118" s="857"/>
      <c r="AS118" s="857"/>
      <c r="AT118" s="855"/>
      <c r="AU118" s="856"/>
      <c r="AV118" s="856"/>
      <c r="AW118" s="857"/>
      <c r="AX118" s="1004"/>
      <c r="AY118" s="1005"/>
      <c r="AZ118" s="1005"/>
      <c r="BA118" s="1005"/>
      <c r="BB118" s="1005"/>
      <c r="BC118" s="1005"/>
      <c r="BD118" s="1006"/>
      <c r="BE118" s="953"/>
      <c r="BF118" s="855"/>
      <c r="BG118" s="857"/>
      <c r="BH118" s="856"/>
      <c r="BI118" s="856"/>
      <c r="BJ118" s="856"/>
      <c r="BK118" s="856"/>
      <c r="BL118" s="856"/>
      <c r="BM118" s="856"/>
      <c r="BN118" s="857"/>
      <c r="BO118" s="855"/>
      <c r="BP118" s="857"/>
      <c r="BQ118" s="975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</row>
    <row r="119" spans="1:157" s="7" customFormat="1" ht="15.6" hidden="1" thickBot="1" x14ac:dyDescent="0.35">
      <c r="A119" s="45" t="s">
        <v>5</v>
      </c>
      <c r="B119" s="60" t="s">
        <v>21</v>
      </c>
      <c r="C119" s="119" t="s">
        <v>69</v>
      </c>
      <c r="D119" s="522" t="s">
        <v>52</v>
      </c>
      <c r="E119" s="99" t="e">
        <f t="shared" ref="E119:E128" si="27">AVERAGE(I119:BY119)</f>
        <v>#DIV/0!</v>
      </c>
      <c r="F119" s="100" t="e">
        <f t="shared" ref="F119:F128" si="28">AVEDEV(I119:BY119)</f>
        <v>#NUM!</v>
      </c>
      <c r="G119" s="100">
        <f t="shared" ref="G119:G128" si="29">MIN(I119:BY119)</f>
        <v>0</v>
      </c>
      <c r="H119" s="376">
        <f t="shared" ref="H119:H128" si="30">MAX(I119:BY119)</f>
        <v>0</v>
      </c>
      <c r="I119" s="383"/>
      <c r="J119" s="277"/>
      <c r="K119" s="277"/>
      <c r="L119" s="277"/>
      <c r="M119" s="414"/>
      <c r="N119" s="414"/>
      <c r="O119" s="398"/>
      <c r="P119" s="413"/>
      <c r="Q119" s="414"/>
      <c r="R119" s="418"/>
      <c r="S119" s="410"/>
      <c r="T119" s="414"/>
      <c r="U119" s="414"/>
      <c r="V119" s="414"/>
      <c r="W119" s="454"/>
      <c r="X119" s="414"/>
      <c r="Y119" s="414"/>
      <c r="Z119" s="418"/>
      <c r="AA119" s="472"/>
      <c r="AB119" s="473"/>
      <c r="AC119" s="473"/>
      <c r="AD119" s="473"/>
      <c r="AE119" s="474"/>
      <c r="AF119" s="472"/>
      <c r="AG119" s="474"/>
      <c r="AH119" s="420"/>
      <c r="AI119" s="421"/>
      <c r="AJ119" s="421"/>
      <c r="AK119" s="421"/>
      <c r="AL119" s="421"/>
      <c r="AM119" s="421"/>
      <c r="AN119" s="421"/>
      <c r="AO119" s="421"/>
      <c r="AP119" s="421"/>
      <c r="AQ119" s="421"/>
      <c r="AR119" s="422"/>
      <c r="AS119" s="516"/>
      <c r="AT119" s="420"/>
      <c r="AU119" s="421"/>
      <c r="AV119" s="421"/>
      <c r="AW119" s="422"/>
      <c r="AX119" s="420"/>
      <c r="AY119" s="421"/>
      <c r="AZ119" s="421"/>
      <c r="BA119" s="421"/>
      <c r="BB119" s="421"/>
      <c r="BC119" s="421"/>
      <c r="BD119" s="422"/>
      <c r="BE119" s="423"/>
      <c r="BF119" s="413"/>
      <c r="BG119" s="418"/>
      <c r="BH119" s="410"/>
      <c r="BI119" s="414"/>
      <c r="BJ119" s="414"/>
      <c r="BK119" s="414"/>
      <c r="BL119" s="414"/>
      <c r="BM119" s="414"/>
      <c r="BN119" s="398"/>
      <c r="BO119" s="472"/>
      <c r="BP119" s="474"/>
      <c r="BQ119" s="385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</row>
    <row r="120" spans="1:157" s="7" customFormat="1" ht="15.6" hidden="1" thickBot="1" x14ac:dyDescent="0.35">
      <c r="A120" s="49" t="s">
        <v>6</v>
      </c>
      <c r="B120" s="44" t="s">
        <v>22</v>
      </c>
      <c r="C120" s="120" t="s">
        <v>70</v>
      </c>
      <c r="D120" s="523" t="s">
        <v>52</v>
      </c>
      <c r="E120" s="101" t="e">
        <f t="shared" si="27"/>
        <v>#DIV/0!</v>
      </c>
      <c r="F120" s="97" t="e">
        <f t="shared" si="28"/>
        <v>#NUM!</v>
      </c>
      <c r="G120" s="97">
        <f t="shared" si="29"/>
        <v>0</v>
      </c>
      <c r="H120" s="377">
        <f t="shared" si="30"/>
        <v>0</v>
      </c>
      <c r="I120" s="382"/>
      <c r="J120" s="305"/>
      <c r="K120" s="305"/>
      <c r="L120" s="305"/>
      <c r="M120" s="462"/>
      <c r="N120" s="462"/>
      <c r="O120" s="464"/>
      <c r="P120" s="465"/>
      <c r="Q120" s="462"/>
      <c r="R120" s="463"/>
      <c r="S120" s="400"/>
      <c r="T120" s="462"/>
      <c r="U120" s="462"/>
      <c r="V120" s="462"/>
      <c r="W120" s="462"/>
      <c r="X120" s="462"/>
      <c r="Y120" s="462"/>
      <c r="Z120" s="463"/>
      <c r="AA120" s="465"/>
      <c r="AB120" s="462"/>
      <c r="AC120" s="462"/>
      <c r="AD120" s="462"/>
      <c r="AE120" s="463"/>
      <c r="AF120" s="465"/>
      <c r="AG120" s="463"/>
      <c r="AH120" s="465"/>
      <c r="AI120" s="462"/>
      <c r="AJ120" s="462"/>
      <c r="AK120" s="462"/>
      <c r="AL120" s="462"/>
      <c r="AM120" s="462"/>
      <c r="AN120" s="462"/>
      <c r="AO120" s="462"/>
      <c r="AP120" s="462"/>
      <c r="AQ120" s="462"/>
      <c r="AR120" s="463"/>
      <c r="AS120" s="517"/>
      <c r="AT120" s="465"/>
      <c r="AU120" s="462"/>
      <c r="AV120" s="462"/>
      <c r="AW120" s="463"/>
      <c r="AX120" s="465"/>
      <c r="AY120" s="462"/>
      <c r="AZ120" s="462"/>
      <c r="BA120" s="462"/>
      <c r="BB120" s="462"/>
      <c r="BC120" s="462"/>
      <c r="BD120" s="463"/>
      <c r="BE120" s="417"/>
      <c r="BF120" s="465"/>
      <c r="BG120" s="463"/>
      <c r="BH120" s="400"/>
      <c r="BI120" s="462"/>
      <c r="BJ120" s="462"/>
      <c r="BK120" s="462"/>
      <c r="BL120" s="462"/>
      <c r="BM120" s="462"/>
      <c r="BN120" s="464"/>
      <c r="BO120" s="465"/>
      <c r="BP120" s="463"/>
      <c r="BQ120" s="417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</row>
    <row r="121" spans="1:157" s="7" customFormat="1" ht="15.6" hidden="1" thickBot="1" x14ac:dyDescent="0.35">
      <c r="A121" s="49" t="s">
        <v>64</v>
      </c>
      <c r="B121" s="59" t="s">
        <v>23</v>
      </c>
      <c r="C121" s="120" t="s">
        <v>70</v>
      </c>
      <c r="D121" s="523" t="s">
        <v>61</v>
      </c>
      <c r="E121" s="102" t="e">
        <f t="shared" si="27"/>
        <v>#DIV/0!</v>
      </c>
      <c r="F121" s="98" t="e">
        <f t="shared" si="28"/>
        <v>#NUM!</v>
      </c>
      <c r="G121" s="98">
        <f t="shared" si="29"/>
        <v>0</v>
      </c>
      <c r="H121" s="378">
        <f t="shared" si="30"/>
        <v>0</v>
      </c>
      <c r="I121" s="458"/>
      <c r="J121" s="455"/>
      <c r="K121" s="455"/>
      <c r="L121" s="455"/>
      <c r="M121" s="455"/>
      <c r="N121" s="455"/>
      <c r="O121" s="461"/>
      <c r="P121" s="458"/>
      <c r="Q121" s="455"/>
      <c r="R121" s="456"/>
      <c r="S121" s="411"/>
      <c r="T121" s="455"/>
      <c r="U121" s="455"/>
      <c r="V121" s="455"/>
      <c r="W121" s="455"/>
      <c r="X121" s="455"/>
      <c r="Y121" s="455"/>
      <c r="Z121" s="456"/>
      <c r="AA121" s="458"/>
      <c r="AB121" s="455"/>
      <c r="AC121" s="455"/>
      <c r="AD121" s="455"/>
      <c r="AE121" s="456"/>
      <c r="AF121" s="458"/>
      <c r="AG121" s="456"/>
      <c r="AH121" s="475"/>
      <c r="AI121" s="476"/>
      <c r="AJ121" s="476"/>
      <c r="AK121" s="476"/>
      <c r="AL121" s="476"/>
      <c r="AM121" s="476"/>
      <c r="AN121" s="476"/>
      <c r="AO121" s="476"/>
      <c r="AP121" s="476"/>
      <c r="AQ121" s="476"/>
      <c r="AR121" s="521"/>
      <c r="AS121" s="518"/>
      <c r="AT121" s="458"/>
      <c r="AU121" s="455"/>
      <c r="AV121" s="390"/>
      <c r="AW121" s="456"/>
      <c r="AX121" s="458"/>
      <c r="AY121" s="455"/>
      <c r="AZ121" s="455"/>
      <c r="BA121" s="455"/>
      <c r="BB121" s="455"/>
      <c r="BC121" s="455"/>
      <c r="BD121" s="456"/>
      <c r="BE121" s="386"/>
      <c r="BF121" s="458"/>
      <c r="BG121" s="456"/>
      <c r="BH121" s="411"/>
      <c r="BI121" s="455"/>
      <c r="BJ121" s="455"/>
      <c r="BK121" s="455"/>
      <c r="BL121" s="455"/>
      <c r="BM121" s="455"/>
      <c r="BN121" s="461"/>
      <c r="BO121" s="458"/>
      <c r="BP121" s="456"/>
      <c r="BQ121" s="386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</row>
    <row r="122" spans="1:157" s="7" customFormat="1" ht="15.6" hidden="1" thickBot="1" x14ac:dyDescent="0.35">
      <c r="A122" s="49" t="s">
        <v>3</v>
      </c>
      <c r="B122" s="44" t="s">
        <v>278</v>
      </c>
      <c r="C122" s="120" t="s">
        <v>71</v>
      </c>
      <c r="D122" s="523" t="s">
        <v>52</v>
      </c>
      <c r="E122" s="103" t="e">
        <f t="shared" si="27"/>
        <v>#DIV/0!</v>
      </c>
      <c r="F122" s="96" t="e">
        <f t="shared" si="28"/>
        <v>#NUM!</v>
      </c>
      <c r="G122" s="96">
        <f t="shared" si="29"/>
        <v>0</v>
      </c>
      <c r="H122" s="379">
        <f t="shared" si="30"/>
        <v>0</v>
      </c>
      <c r="I122" s="459"/>
      <c r="J122" s="454"/>
      <c r="K122" s="454"/>
      <c r="L122" s="454"/>
      <c r="M122" s="454"/>
      <c r="N122" s="454"/>
      <c r="O122" s="460"/>
      <c r="P122" s="459"/>
      <c r="Q122" s="454"/>
      <c r="R122" s="457"/>
      <c r="S122" s="416"/>
      <c r="T122" s="454"/>
      <c r="U122" s="454"/>
      <c r="V122" s="454"/>
      <c r="W122" s="454"/>
      <c r="X122" s="454"/>
      <c r="Y122" s="454"/>
      <c r="Z122" s="457"/>
      <c r="AA122" s="459"/>
      <c r="AB122" s="454"/>
      <c r="AC122" s="454"/>
      <c r="AD122" s="454"/>
      <c r="AE122" s="457"/>
      <c r="AF122" s="459"/>
      <c r="AG122" s="457"/>
      <c r="AH122" s="477"/>
      <c r="AI122" s="478"/>
      <c r="AJ122" s="478"/>
      <c r="AK122" s="478"/>
      <c r="AL122" s="478"/>
      <c r="AM122" s="478"/>
      <c r="AN122" s="454"/>
      <c r="AO122" s="454"/>
      <c r="AP122" s="478"/>
      <c r="AQ122" s="478"/>
      <c r="AR122" s="479"/>
      <c r="AS122" s="519"/>
      <c r="AT122" s="459"/>
      <c r="AU122" s="454"/>
      <c r="AV122" s="392"/>
      <c r="AW122" s="457"/>
      <c r="AX122" s="459"/>
      <c r="AY122" s="454"/>
      <c r="AZ122" s="454"/>
      <c r="BA122" s="454"/>
      <c r="BB122" s="454"/>
      <c r="BC122" s="454"/>
      <c r="BD122" s="457"/>
      <c r="BE122" s="419"/>
      <c r="BF122" s="459"/>
      <c r="BG122" s="457"/>
      <c r="BH122" s="416"/>
      <c r="BI122" s="454"/>
      <c r="BJ122" s="454"/>
      <c r="BK122" s="454"/>
      <c r="BL122" s="454"/>
      <c r="BM122" s="454"/>
      <c r="BN122" s="460"/>
      <c r="BO122" s="459"/>
      <c r="BP122" s="457"/>
      <c r="BQ122" s="391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</row>
    <row r="123" spans="1:157" s="7" customFormat="1" ht="15.6" hidden="1" thickBot="1" x14ac:dyDescent="0.35">
      <c r="A123" s="49" t="s">
        <v>4</v>
      </c>
      <c r="B123" s="44" t="s">
        <v>153</v>
      </c>
      <c r="C123" s="120" t="s">
        <v>71</v>
      </c>
      <c r="D123" s="523" t="s">
        <v>52</v>
      </c>
      <c r="E123" s="103" t="e">
        <f t="shared" si="27"/>
        <v>#DIV/0!</v>
      </c>
      <c r="F123" s="96" t="e">
        <f t="shared" si="28"/>
        <v>#NUM!</v>
      </c>
      <c r="G123" s="96">
        <f t="shared" si="29"/>
        <v>0</v>
      </c>
      <c r="H123" s="379">
        <f t="shared" si="30"/>
        <v>0</v>
      </c>
      <c r="I123" s="459"/>
      <c r="J123" s="454"/>
      <c r="K123" s="454"/>
      <c r="L123" s="454"/>
      <c r="M123" s="454"/>
      <c r="N123" s="454"/>
      <c r="O123" s="460"/>
      <c r="P123" s="459"/>
      <c r="Q123" s="454"/>
      <c r="R123" s="457"/>
      <c r="S123" s="416"/>
      <c r="T123" s="454"/>
      <c r="U123" s="454"/>
      <c r="V123" s="454"/>
      <c r="W123" s="454"/>
      <c r="X123" s="454"/>
      <c r="Y123" s="454"/>
      <c r="Z123" s="457"/>
      <c r="AA123" s="459"/>
      <c r="AB123" s="454"/>
      <c r="AC123" s="454"/>
      <c r="AD123" s="454"/>
      <c r="AE123" s="457"/>
      <c r="AF123" s="459"/>
      <c r="AG123" s="457"/>
      <c r="AH123" s="477"/>
      <c r="AI123" s="478"/>
      <c r="AJ123" s="478"/>
      <c r="AK123" s="478"/>
      <c r="AL123" s="478"/>
      <c r="AM123" s="478"/>
      <c r="AN123" s="454"/>
      <c r="AO123" s="454"/>
      <c r="AP123" s="478"/>
      <c r="AQ123" s="478"/>
      <c r="AR123" s="479"/>
      <c r="AS123" s="519"/>
      <c r="AT123" s="459"/>
      <c r="AU123" s="454"/>
      <c r="AV123" s="392"/>
      <c r="AW123" s="457"/>
      <c r="AX123" s="459"/>
      <c r="AY123" s="454"/>
      <c r="AZ123" s="454"/>
      <c r="BA123" s="454"/>
      <c r="BB123" s="454"/>
      <c r="BC123" s="454"/>
      <c r="BD123" s="457"/>
      <c r="BE123" s="419"/>
      <c r="BF123" s="459"/>
      <c r="BG123" s="457"/>
      <c r="BH123" s="416"/>
      <c r="BI123" s="454"/>
      <c r="BJ123" s="454"/>
      <c r="BK123" s="454"/>
      <c r="BL123" s="454"/>
      <c r="BM123" s="454"/>
      <c r="BN123" s="460"/>
      <c r="BO123" s="459"/>
      <c r="BP123" s="457"/>
      <c r="BQ123" s="391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</row>
    <row r="124" spans="1:157" s="7" customFormat="1" ht="15.6" hidden="1" thickBot="1" x14ac:dyDescent="0.35">
      <c r="A124" s="49" t="s">
        <v>59</v>
      </c>
      <c r="B124" s="44" t="s">
        <v>26</v>
      </c>
      <c r="C124" s="120" t="s">
        <v>69</v>
      </c>
      <c r="D124" s="523" t="s">
        <v>52</v>
      </c>
      <c r="E124" s="101" t="e">
        <f t="shared" si="27"/>
        <v>#DIV/0!</v>
      </c>
      <c r="F124" s="97" t="e">
        <f t="shared" si="28"/>
        <v>#NUM!</v>
      </c>
      <c r="G124" s="97">
        <f t="shared" si="29"/>
        <v>0</v>
      </c>
      <c r="H124" s="377">
        <f t="shared" si="30"/>
        <v>0</v>
      </c>
      <c r="I124" s="382"/>
      <c r="J124" s="305"/>
      <c r="K124" s="305"/>
      <c r="L124" s="305"/>
      <c r="M124" s="462"/>
      <c r="N124" s="462"/>
      <c r="O124" s="464"/>
      <c r="P124" s="465"/>
      <c r="Q124" s="462"/>
      <c r="R124" s="463"/>
      <c r="S124" s="400"/>
      <c r="T124" s="462"/>
      <c r="U124" s="462"/>
      <c r="V124" s="462"/>
      <c r="W124" s="462"/>
      <c r="X124" s="462"/>
      <c r="Y124" s="462"/>
      <c r="Z124" s="463"/>
      <c r="AA124" s="465"/>
      <c r="AB124" s="462"/>
      <c r="AC124" s="462"/>
      <c r="AD124" s="462"/>
      <c r="AE124" s="463"/>
      <c r="AF124" s="465"/>
      <c r="AG124" s="463"/>
      <c r="AH124" s="465"/>
      <c r="AI124" s="462"/>
      <c r="AJ124" s="462"/>
      <c r="AK124" s="462"/>
      <c r="AL124" s="462"/>
      <c r="AM124" s="462"/>
      <c r="AN124" s="462"/>
      <c r="AO124" s="462"/>
      <c r="AP124" s="462"/>
      <c r="AQ124" s="462"/>
      <c r="AR124" s="463"/>
      <c r="AS124" s="517"/>
      <c r="AT124" s="465"/>
      <c r="AU124" s="462"/>
      <c r="AV124" s="462"/>
      <c r="AW124" s="463"/>
      <c r="AX124" s="465"/>
      <c r="AY124" s="462"/>
      <c r="AZ124" s="462"/>
      <c r="BA124" s="462"/>
      <c r="BB124" s="462"/>
      <c r="BC124" s="462"/>
      <c r="BD124" s="463"/>
      <c r="BE124" s="417"/>
      <c r="BF124" s="465"/>
      <c r="BG124" s="463"/>
      <c r="BH124" s="415"/>
      <c r="BI124" s="412"/>
      <c r="BJ124" s="462"/>
      <c r="BK124" s="462"/>
      <c r="BL124" s="462"/>
      <c r="BM124" s="462"/>
      <c r="BN124" s="464"/>
      <c r="BO124" s="465"/>
      <c r="BP124" s="463"/>
      <c r="BQ124" s="387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</row>
    <row r="125" spans="1:157" s="7" customFormat="1" ht="15.6" hidden="1" thickBot="1" x14ac:dyDescent="0.35">
      <c r="A125" s="49" t="s">
        <v>51</v>
      </c>
      <c r="B125" s="44" t="s">
        <v>27</v>
      </c>
      <c r="C125" s="120" t="s">
        <v>69</v>
      </c>
      <c r="D125" s="523" t="s">
        <v>52</v>
      </c>
      <c r="E125" s="101" t="e">
        <f t="shared" si="27"/>
        <v>#DIV/0!</v>
      </c>
      <c r="F125" s="97" t="e">
        <f t="shared" si="28"/>
        <v>#NUM!</v>
      </c>
      <c r="G125" s="97">
        <f t="shared" si="29"/>
        <v>0</v>
      </c>
      <c r="H125" s="377">
        <f t="shared" si="30"/>
        <v>0</v>
      </c>
      <c r="I125" s="382"/>
      <c r="J125" s="305"/>
      <c r="K125" s="305"/>
      <c r="L125" s="305"/>
      <c r="M125" s="462"/>
      <c r="N125" s="462"/>
      <c r="O125" s="464"/>
      <c r="P125" s="465"/>
      <c r="Q125" s="462"/>
      <c r="R125" s="463"/>
      <c r="S125" s="400"/>
      <c r="T125" s="462"/>
      <c r="U125" s="462"/>
      <c r="V125" s="462"/>
      <c r="W125" s="462"/>
      <c r="X125" s="462"/>
      <c r="Y125" s="462"/>
      <c r="Z125" s="462"/>
      <c r="AA125" s="465"/>
      <c r="AB125" s="462"/>
      <c r="AC125" s="462"/>
      <c r="AD125" s="462"/>
      <c r="AE125" s="463"/>
      <c r="AF125" s="465"/>
      <c r="AG125" s="463"/>
      <c r="AH125" s="465"/>
      <c r="AI125" s="462"/>
      <c r="AJ125" s="462"/>
      <c r="AK125" s="462"/>
      <c r="AL125" s="462"/>
      <c r="AM125" s="462"/>
      <c r="AN125" s="462"/>
      <c r="AO125" s="462"/>
      <c r="AP125" s="462"/>
      <c r="AQ125" s="462"/>
      <c r="AR125" s="463"/>
      <c r="AS125" s="517"/>
      <c r="AT125" s="465"/>
      <c r="AU125" s="462"/>
      <c r="AV125" s="462"/>
      <c r="AW125" s="463"/>
      <c r="AX125" s="465"/>
      <c r="AY125" s="462"/>
      <c r="AZ125" s="462"/>
      <c r="BA125" s="462"/>
      <c r="BB125" s="462"/>
      <c r="BC125" s="462"/>
      <c r="BD125" s="463"/>
      <c r="BE125" s="417"/>
      <c r="BF125" s="465"/>
      <c r="BG125" s="463"/>
      <c r="BH125" s="415"/>
      <c r="BI125" s="412"/>
      <c r="BJ125" s="462"/>
      <c r="BK125" s="462"/>
      <c r="BL125" s="462"/>
      <c r="BM125" s="462"/>
      <c r="BN125" s="464"/>
      <c r="BO125" s="465"/>
      <c r="BP125" s="463"/>
      <c r="BQ125" s="387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</row>
    <row r="126" spans="1:157" s="7" customFormat="1" ht="15.6" hidden="1" thickBot="1" x14ac:dyDescent="0.35">
      <c r="A126" s="51" t="s">
        <v>60</v>
      </c>
      <c r="B126" s="59" t="s">
        <v>28</v>
      </c>
      <c r="C126" s="120" t="s">
        <v>69</v>
      </c>
      <c r="D126" s="523" t="s">
        <v>52</v>
      </c>
      <c r="E126" s="101" t="e">
        <f t="shared" si="27"/>
        <v>#DIV/0!</v>
      </c>
      <c r="F126" s="97" t="e">
        <f t="shared" si="28"/>
        <v>#NUM!</v>
      </c>
      <c r="G126" s="97">
        <f t="shared" si="29"/>
        <v>0</v>
      </c>
      <c r="H126" s="377">
        <f t="shared" si="30"/>
        <v>0</v>
      </c>
      <c r="I126" s="382"/>
      <c r="J126" s="305"/>
      <c r="K126" s="305"/>
      <c r="L126" s="305"/>
      <c r="M126" s="462"/>
      <c r="N126" s="462"/>
      <c r="O126" s="464"/>
      <c r="P126" s="465"/>
      <c r="Q126" s="462"/>
      <c r="R126" s="463"/>
      <c r="S126" s="400"/>
      <c r="T126" s="462"/>
      <c r="U126" s="462"/>
      <c r="V126" s="462"/>
      <c r="W126" s="462"/>
      <c r="X126" s="462"/>
      <c r="Y126" s="462"/>
      <c r="Z126" s="463"/>
      <c r="AA126" s="465"/>
      <c r="AB126" s="462"/>
      <c r="AC126" s="462"/>
      <c r="AD126" s="462"/>
      <c r="AE126" s="463"/>
      <c r="AF126" s="465"/>
      <c r="AG126" s="463"/>
      <c r="AH126" s="465"/>
      <c r="AI126" s="462"/>
      <c r="AJ126" s="462"/>
      <c r="AK126" s="462"/>
      <c r="AL126" s="462"/>
      <c r="AM126" s="462"/>
      <c r="AN126" s="462"/>
      <c r="AO126" s="462"/>
      <c r="AP126" s="462"/>
      <c r="AQ126" s="462"/>
      <c r="AR126" s="463"/>
      <c r="AS126" s="517"/>
      <c r="AT126" s="465"/>
      <c r="AU126" s="462"/>
      <c r="AV126" s="462"/>
      <c r="AW126" s="463"/>
      <c r="AX126" s="465"/>
      <c r="AY126" s="462"/>
      <c r="AZ126" s="462"/>
      <c r="BA126" s="462"/>
      <c r="BB126" s="462"/>
      <c r="BC126" s="462"/>
      <c r="BD126" s="463"/>
      <c r="BE126" s="417"/>
      <c r="BF126" s="465"/>
      <c r="BG126" s="463"/>
      <c r="BH126" s="409"/>
      <c r="BI126" s="282"/>
      <c r="BJ126" s="462"/>
      <c r="BK126" s="462"/>
      <c r="BL126" s="462"/>
      <c r="BM126" s="462"/>
      <c r="BN126" s="464"/>
      <c r="BO126" s="465"/>
      <c r="BP126" s="463"/>
      <c r="BQ126" s="387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</row>
    <row r="127" spans="1:157" s="7" customFormat="1" ht="15.6" hidden="1" thickBot="1" x14ac:dyDescent="0.35">
      <c r="A127" s="49" t="s">
        <v>17</v>
      </c>
      <c r="B127" s="44" t="s">
        <v>101</v>
      </c>
      <c r="C127" s="120" t="s">
        <v>70</v>
      </c>
      <c r="D127" s="523" t="s">
        <v>52</v>
      </c>
      <c r="E127" s="101" t="e">
        <f t="shared" si="27"/>
        <v>#DIV/0!</v>
      </c>
      <c r="F127" s="97" t="e">
        <f t="shared" si="28"/>
        <v>#NUM!</v>
      </c>
      <c r="G127" s="97">
        <f t="shared" si="29"/>
        <v>0</v>
      </c>
      <c r="H127" s="377">
        <f t="shared" si="30"/>
        <v>0</v>
      </c>
      <c r="I127" s="382"/>
      <c r="J127" s="305"/>
      <c r="K127" s="305"/>
      <c r="L127" s="305"/>
      <c r="M127" s="462"/>
      <c r="N127" s="462"/>
      <c r="O127" s="464"/>
      <c r="P127" s="465"/>
      <c r="Q127" s="462"/>
      <c r="R127" s="463"/>
      <c r="S127" s="400"/>
      <c r="T127" s="462"/>
      <c r="U127" s="462"/>
      <c r="V127" s="462"/>
      <c r="W127" s="462"/>
      <c r="X127" s="462"/>
      <c r="Y127" s="462"/>
      <c r="Z127" s="463"/>
      <c r="AA127" s="465"/>
      <c r="AB127" s="462"/>
      <c r="AC127" s="462"/>
      <c r="AD127" s="462"/>
      <c r="AE127" s="463"/>
      <c r="AF127" s="465"/>
      <c r="AG127" s="463"/>
      <c r="AH127" s="465"/>
      <c r="AI127" s="462"/>
      <c r="AJ127" s="462"/>
      <c r="AK127" s="462"/>
      <c r="AL127" s="462"/>
      <c r="AM127" s="462"/>
      <c r="AN127" s="462"/>
      <c r="AO127" s="462"/>
      <c r="AP127" s="462"/>
      <c r="AQ127" s="462"/>
      <c r="AR127" s="463"/>
      <c r="AS127" s="517"/>
      <c r="AT127" s="465"/>
      <c r="AU127" s="462"/>
      <c r="AV127" s="462"/>
      <c r="AW127" s="463"/>
      <c r="AX127" s="465"/>
      <c r="AY127" s="462"/>
      <c r="AZ127" s="462"/>
      <c r="BA127" s="462"/>
      <c r="BB127" s="462"/>
      <c r="BC127" s="462"/>
      <c r="BD127" s="463"/>
      <c r="BE127" s="417"/>
      <c r="BF127" s="465"/>
      <c r="BG127" s="463"/>
      <c r="BH127" s="400"/>
      <c r="BI127" s="462"/>
      <c r="BJ127" s="462"/>
      <c r="BK127" s="462"/>
      <c r="BL127" s="462"/>
      <c r="BM127" s="462"/>
      <c r="BN127" s="464"/>
      <c r="BO127" s="465"/>
      <c r="BP127" s="463"/>
      <c r="BQ127" s="387"/>
    </row>
    <row r="128" spans="1:157" s="7" customFormat="1" ht="15.6" hidden="1" thickBot="1" x14ac:dyDescent="0.35">
      <c r="A128" s="53" t="s">
        <v>18</v>
      </c>
      <c r="B128" s="61" t="s">
        <v>102</v>
      </c>
      <c r="C128" s="121" t="s">
        <v>70</v>
      </c>
      <c r="D128" s="524" t="s">
        <v>52</v>
      </c>
      <c r="E128" s="104" t="e">
        <f t="shared" si="27"/>
        <v>#DIV/0!</v>
      </c>
      <c r="F128" s="105" t="e">
        <f t="shared" si="28"/>
        <v>#NUM!</v>
      </c>
      <c r="G128" s="105">
        <f t="shared" si="29"/>
        <v>0</v>
      </c>
      <c r="H128" s="380">
        <f t="shared" si="30"/>
        <v>0</v>
      </c>
      <c r="I128" s="384"/>
      <c r="J128" s="303"/>
      <c r="K128" s="303"/>
      <c r="L128" s="303"/>
      <c r="M128" s="444"/>
      <c r="N128" s="444"/>
      <c r="O128" s="445"/>
      <c r="P128" s="446"/>
      <c r="Q128" s="444"/>
      <c r="R128" s="447"/>
      <c r="S128" s="394"/>
      <c r="T128" s="444"/>
      <c r="U128" s="444"/>
      <c r="V128" s="444"/>
      <c r="W128" s="444"/>
      <c r="X128" s="444"/>
      <c r="Y128" s="444"/>
      <c r="Z128" s="447"/>
      <c r="AA128" s="446"/>
      <c r="AB128" s="444"/>
      <c r="AC128" s="444"/>
      <c r="AD128" s="444"/>
      <c r="AE128" s="447"/>
      <c r="AF128" s="446"/>
      <c r="AG128" s="447"/>
      <c r="AH128" s="446"/>
      <c r="AI128" s="444"/>
      <c r="AJ128" s="444"/>
      <c r="AK128" s="444"/>
      <c r="AL128" s="444"/>
      <c r="AM128" s="444"/>
      <c r="AN128" s="444"/>
      <c r="AO128" s="444"/>
      <c r="AP128" s="444"/>
      <c r="AQ128" s="444"/>
      <c r="AR128" s="447"/>
      <c r="AS128" s="520"/>
      <c r="AT128" s="446"/>
      <c r="AU128" s="444"/>
      <c r="AV128" s="444"/>
      <c r="AW128" s="447"/>
      <c r="AX128" s="446"/>
      <c r="AY128" s="444"/>
      <c r="AZ128" s="444"/>
      <c r="BA128" s="444"/>
      <c r="BB128" s="444"/>
      <c r="BC128" s="444"/>
      <c r="BD128" s="447"/>
      <c r="BE128" s="389"/>
      <c r="BF128" s="446"/>
      <c r="BG128" s="447"/>
      <c r="BH128" s="394"/>
      <c r="BI128" s="444"/>
      <c r="BJ128" s="444"/>
      <c r="BK128" s="444"/>
      <c r="BL128" s="444"/>
      <c r="BM128" s="444"/>
      <c r="BN128" s="445"/>
      <c r="BO128" s="446"/>
      <c r="BP128" s="447"/>
      <c r="BQ128" s="388"/>
    </row>
    <row r="129" spans="1:30" s="7" customFormat="1" ht="25.05" hidden="1" customHeight="1" thickBot="1" x14ac:dyDescent="0.35">
      <c r="A129" s="470"/>
      <c r="B129" s="470"/>
      <c r="C129" s="471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Q129" s="471"/>
      <c r="R129" s="471"/>
      <c r="S129" s="471"/>
      <c r="T129" s="471"/>
      <c r="U129" s="471"/>
      <c r="V129" s="471"/>
      <c r="W129" s="471"/>
      <c r="X129" s="471"/>
      <c r="Y129" s="471"/>
      <c r="Z129" s="471"/>
      <c r="AA129" s="471"/>
      <c r="AB129" s="471"/>
      <c r="AC129" s="471"/>
      <c r="AD129" s="471"/>
    </row>
    <row r="130" spans="1:30" s="38" customFormat="1" ht="16.2" thickBot="1" x14ac:dyDescent="0.35">
      <c r="A130" s="115" t="s">
        <v>20</v>
      </c>
      <c r="B130" s="116"/>
      <c r="C130" s="116"/>
      <c r="D130" s="375" t="s">
        <v>20</v>
      </c>
      <c r="E130" s="882" t="s">
        <v>20</v>
      </c>
      <c r="F130" s="883"/>
      <c r="G130" s="883"/>
      <c r="H130" s="884"/>
      <c r="I130" s="864" t="s">
        <v>20</v>
      </c>
      <c r="J130" s="865"/>
      <c r="K130" s="865"/>
      <c r="L130" s="865"/>
      <c r="M130" s="865"/>
      <c r="N130" s="865"/>
      <c r="O130" s="865"/>
      <c r="P130" s="865"/>
      <c r="Q130" s="865"/>
      <c r="R130" s="865"/>
      <c r="S130" s="865"/>
      <c r="T130" s="865"/>
      <c r="U130" s="865"/>
      <c r="V130" s="866"/>
    </row>
    <row r="131" spans="1:30" ht="40.049999999999997" customHeight="1" thickBot="1" x14ac:dyDescent="0.35">
      <c r="A131" s="1025">
        <f>COUNTA(I131:W131)</f>
        <v>14</v>
      </c>
      <c r="B131" s="1025"/>
      <c r="C131" s="1026"/>
      <c r="D131" s="262" t="s">
        <v>0</v>
      </c>
      <c r="E131" s="110" t="s">
        <v>31</v>
      </c>
      <c r="F131" s="573" t="s">
        <v>512</v>
      </c>
      <c r="G131" s="111" t="s">
        <v>57</v>
      </c>
      <c r="H131" s="112" t="s">
        <v>58</v>
      </c>
      <c r="I131" s="165" t="s">
        <v>37</v>
      </c>
      <c r="J131" s="165" t="s">
        <v>38</v>
      </c>
      <c r="K131" s="165" t="s">
        <v>39</v>
      </c>
      <c r="L131" s="165" t="s">
        <v>40</v>
      </c>
      <c r="M131" s="165" t="s">
        <v>41</v>
      </c>
      <c r="N131" s="165" t="s">
        <v>42</v>
      </c>
      <c r="O131" s="165" t="s">
        <v>48</v>
      </c>
      <c r="P131" s="165" t="s">
        <v>43</v>
      </c>
      <c r="Q131" s="165" t="s">
        <v>44</v>
      </c>
      <c r="R131" s="165" t="s">
        <v>49</v>
      </c>
      <c r="S131" s="165" t="s">
        <v>45</v>
      </c>
      <c r="T131" s="165" t="s">
        <v>46</v>
      </c>
      <c r="U131" s="165" t="s">
        <v>50</v>
      </c>
      <c r="V131" s="166" t="s">
        <v>47</v>
      </c>
    </row>
    <row r="132" spans="1:30" ht="15" thickBot="1" x14ac:dyDescent="0.35">
      <c r="A132" s="1027"/>
      <c r="B132" s="1027"/>
      <c r="C132" s="1028"/>
      <c r="D132" s="36" t="s">
        <v>33</v>
      </c>
      <c r="E132" s="971" t="s">
        <v>513</v>
      </c>
      <c r="F132" s="972"/>
      <c r="G132" s="972"/>
      <c r="H132" s="973"/>
      <c r="I132" s="858" t="s">
        <v>29</v>
      </c>
      <c r="J132" s="859"/>
      <c r="K132" s="859"/>
      <c r="L132" s="859"/>
      <c r="M132" s="859"/>
      <c r="N132" s="859"/>
      <c r="O132" s="859"/>
      <c r="P132" s="859"/>
      <c r="Q132" s="859"/>
      <c r="R132" s="859"/>
      <c r="S132" s="859"/>
      <c r="T132" s="859"/>
      <c r="U132" s="859"/>
      <c r="V132" s="860"/>
    </row>
    <row r="133" spans="1:30" ht="15" thickBot="1" x14ac:dyDescent="0.35">
      <c r="A133" s="57" t="s">
        <v>54</v>
      </c>
      <c r="B133" s="58" t="s">
        <v>55</v>
      </c>
      <c r="C133" s="62" t="s">
        <v>1</v>
      </c>
      <c r="D133" s="56" t="s">
        <v>32</v>
      </c>
      <c r="E133" s="971"/>
      <c r="F133" s="972"/>
      <c r="G133" s="972"/>
      <c r="H133" s="973"/>
      <c r="I133" s="861"/>
      <c r="J133" s="862"/>
      <c r="K133" s="862"/>
      <c r="L133" s="862"/>
      <c r="M133" s="862"/>
      <c r="N133" s="862"/>
      <c r="O133" s="862"/>
      <c r="P133" s="862"/>
      <c r="Q133" s="862"/>
      <c r="R133" s="862"/>
      <c r="S133" s="862"/>
      <c r="T133" s="862"/>
      <c r="U133" s="862"/>
      <c r="V133" s="863"/>
    </row>
    <row r="134" spans="1:30" s="48" customFormat="1" ht="15" customHeight="1" x14ac:dyDescent="0.3">
      <c r="A134" s="46" t="s">
        <v>5</v>
      </c>
      <c r="B134" s="60" t="s">
        <v>21</v>
      </c>
      <c r="C134" s="8" t="s">
        <v>69</v>
      </c>
      <c r="D134" s="522" t="s">
        <v>52</v>
      </c>
      <c r="E134" s="99">
        <f t="shared" ref="E134:E143" si="31">AVERAGE(I134:W134)</f>
        <v>65.05714285714285</v>
      </c>
      <c r="F134" s="100">
        <f t="shared" ref="F134:F143" si="32">AVEDEV(I134:W134)</f>
        <v>40.808163265306128</v>
      </c>
      <c r="G134" s="100">
        <f t="shared" ref="G134:G143" si="33">MIN(I134:W134)</f>
        <v>13</v>
      </c>
      <c r="H134" s="376">
        <f t="shared" ref="H134:H143" si="34">MAX(I134:W134)</f>
        <v>156</v>
      </c>
      <c r="I134" s="565">
        <v>13</v>
      </c>
      <c r="J134" s="35">
        <v>14.9</v>
      </c>
      <c r="K134" s="35">
        <v>23</v>
      </c>
      <c r="L134" s="35">
        <v>24.9</v>
      </c>
      <c r="M134" s="35">
        <v>31</v>
      </c>
      <c r="N134" s="35">
        <v>36</v>
      </c>
      <c r="O134" s="35">
        <v>43</v>
      </c>
      <c r="P134" s="35">
        <v>49</v>
      </c>
      <c r="Q134" s="35">
        <v>69</v>
      </c>
      <c r="R134" s="35">
        <v>73</v>
      </c>
      <c r="S134" s="35">
        <v>99</v>
      </c>
      <c r="T134" s="35">
        <v>130</v>
      </c>
      <c r="U134" s="35">
        <v>149</v>
      </c>
      <c r="V134" s="43">
        <v>156</v>
      </c>
    </row>
    <row r="135" spans="1:30" s="48" customFormat="1" ht="15" customHeight="1" x14ac:dyDescent="0.3">
      <c r="A135" s="50" t="s">
        <v>6</v>
      </c>
      <c r="B135" s="44" t="s">
        <v>22</v>
      </c>
      <c r="C135" s="9" t="s">
        <v>70</v>
      </c>
      <c r="D135" s="523" t="s">
        <v>52</v>
      </c>
      <c r="E135" s="101">
        <f t="shared" si="31"/>
        <v>7.4285714285714293E-3</v>
      </c>
      <c r="F135" s="97">
        <f t="shared" si="32"/>
        <v>2.6530612244897956E-3</v>
      </c>
      <c r="G135" s="97">
        <f t="shared" si="33"/>
        <v>3.0000000000000001E-3</v>
      </c>
      <c r="H135" s="377">
        <f t="shared" si="34"/>
        <v>1.0999999999999999E-2</v>
      </c>
      <c r="I135" s="141">
        <v>1.0999999999999999E-2</v>
      </c>
      <c r="J135" s="140">
        <v>1.0999999999999999E-2</v>
      </c>
      <c r="K135" s="140">
        <v>8.0000000000000002E-3</v>
      </c>
      <c r="L135" s="140">
        <v>8.0000000000000002E-3</v>
      </c>
      <c r="M135" s="140">
        <v>7.0000000000000001E-3</v>
      </c>
      <c r="N135" s="140">
        <v>6.0000000000000001E-3</v>
      </c>
      <c r="O135" s="140">
        <v>3.0000000000000001E-3</v>
      </c>
      <c r="P135" s="140">
        <v>0.01</v>
      </c>
      <c r="Q135" s="140">
        <v>1.0999999999999999E-2</v>
      </c>
      <c r="R135" s="140">
        <v>1.0999999999999999E-2</v>
      </c>
      <c r="S135" s="140">
        <v>8.0000000000000002E-3</v>
      </c>
      <c r="T135" s="140">
        <v>4.0000000000000001E-3</v>
      </c>
      <c r="U135" s="140">
        <v>3.0000000000000001E-3</v>
      </c>
      <c r="V135" s="224">
        <v>3.0000000000000001E-3</v>
      </c>
    </row>
    <row r="136" spans="1:30" s="48" customFormat="1" ht="15" customHeight="1" x14ac:dyDescent="0.3">
      <c r="A136" s="50" t="s">
        <v>64</v>
      </c>
      <c r="B136" s="59" t="s">
        <v>103</v>
      </c>
      <c r="C136" s="9" t="s">
        <v>70</v>
      </c>
      <c r="D136" s="523" t="s">
        <v>61</v>
      </c>
      <c r="E136" s="102">
        <f t="shared" si="31"/>
        <v>0.29999999999999993</v>
      </c>
      <c r="F136" s="98">
        <f t="shared" si="32"/>
        <v>5.5511151231257827E-17</v>
      </c>
      <c r="G136" s="98">
        <f t="shared" si="33"/>
        <v>0.3</v>
      </c>
      <c r="H136" s="378">
        <f t="shared" si="34"/>
        <v>0.3</v>
      </c>
      <c r="I136" s="219">
        <v>0.3</v>
      </c>
      <c r="J136" s="80">
        <v>0.3</v>
      </c>
      <c r="K136" s="80">
        <v>0.3</v>
      </c>
      <c r="L136" s="80">
        <v>0.3</v>
      </c>
      <c r="M136" s="80">
        <v>0.3</v>
      </c>
      <c r="N136" s="80">
        <v>0.3</v>
      </c>
      <c r="O136" s="80">
        <v>0.3</v>
      </c>
      <c r="P136" s="80">
        <v>0.3</v>
      </c>
      <c r="Q136" s="80">
        <v>0.3</v>
      </c>
      <c r="R136" s="80">
        <v>0.3</v>
      </c>
      <c r="S136" s="79">
        <v>0.3</v>
      </c>
      <c r="T136" s="79">
        <v>0.3</v>
      </c>
      <c r="U136" s="79">
        <v>0.3</v>
      </c>
      <c r="V136" s="81">
        <v>0.3</v>
      </c>
    </row>
    <row r="137" spans="1:30" s="48" customFormat="1" ht="15" customHeight="1" x14ac:dyDescent="0.3">
      <c r="A137" s="50" t="s">
        <v>3</v>
      </c>
      <c r="B137" s="44" t="s">
        <v>118</v>
      </c>
      <c r="C137" s="9" t="s">
        <v>71</v>
      </c>
      <c r="D137" s="523" t="s">
        <v>52</v>
      </c>
      <c r="E137" s="103">
        <f t="shared" si="31"/>
        <v>73.642857142857139</v>
      </c>
      <c r="F137" s="96">
        <f t="shared" si="32"/>
        <v>1.2714285714285711</v>
      </c>
      <c r="G137" s="96">
        <f t="shared" si="33"/>
        <v>71.400000000000006</v>
      </c>
      <c r="H137" s="379">
        <f t="shared" si="34"/>
        <v>76.2</v>
      </c>
      <c r="I137" s="132">
        <v>74</v>
      </c>
      <c r="J137" s="15">
        <v>74.400000000000006</v>
      </c>
      <c r="K137" s="15">
        <v>75.8</v>
      </c>
      <c r="L137" s="15">
        <v>76.2</v>
      </c>
      <c r="M137" s="15">
        <v>75.400000000000006</v>
      </c>
      <c r="N137" s="15">
        <v>74.8</v>
      </c>
      <c r="O137" s="15">
        <v>73.8</v>
      </c>
      <c r="P137" s="321">
        <v>73</v>
      </c>
      <c r="Q137" s="15">
        <v>71.400000000000006</v>
      </c>
      <c r="R137" s="15">
        <v>71.400000000000006</v>
      </c>
      <c r="S137" s="137">
        <v>72</v>
      </c>
      <c r="T137" s="144">
        <v>72.8</v>
      </c>
      <c r="U137" s="137">
        <v>73</v>
      </c>
      <c r="V137" s="221">
        <v>73</v>
      </c>
    </row>
    <row r="138" spans="1:30" s="48" customFormat="1" ht="15" customHeight="1" x14ac:dyDescent="0.3">
      <c r="A138" s="50" t="s">
        <v>4</v>
      </c>
      <c r="B138" s="44" t="s">
        <v>117</v>
      </c>
      <c r="C138" s="9" t="s">
        <v>71</v>
      </c>
      <c r="D138" s="523" t="s">
        <v>52</v>
      </c>
      <c r="E138" s="103">
        <f t="shared" si="31"/>
        <v>75.628571428571448</v>
      </c>
      <c r="F138" s="96">
        <f t="shared" si="32"/>
        <v>1.4428571428571442</v>
      </c>
      <c r="G138" s="96">
        <f t="shared" si="33"/>
        <v>72.5</v>
      </c>
      <c r="H138" s="379">
        <f t="shared" si="34"/>
        <v>78.2</v>
      </c>
      <c r="I138" s="143">
        <v>72.5</v>
      </c>
      <c r="J138" s="321">
        <v>73.3</v>
      </c>
      <c r="K138" s="321">
        <v>76.400000000000006</v>
      </c>
      <c r="L138" s="321">
        <v>77.2</v>
      </c>
      <c r="M138" s="321">
        <v>76.5</v>
      </c>
      <c r="N138" s="321">
        <v>76</v>
      </c>
      <c r="O138" s="321">
        <v>73</v>
      </c>
      <c r="P138" s="321">
        <v>75</v>
      </c>
      <c r="Q138" s="321">
        <v>78.2</v>
      </c>
      <c r="R138" s="321">
        <v>78.2</v>
      </c>
      <c r="S138" s="137">
        <v>77</v>
      </c>
      <c r="T138" s="137">
        <v>75.5</v>
      </c>
      <c r="U138" s="137">
        <v>75</v>
      </c>
      <c r="V138" s="221">
        <v>75</v>
      </c>
    </row>
    <row r="139" spans="1:30" s="48" customFormat="1" ht="15" customHeight="1" x14ac:dyDescent="0.3">
      <c r="A139" s="50" t="s">
        <v>59</v>
      </c>
      <c r="B139" s="44" t="s">
        <v>26</v>
      </c>
      <c r="C139" s="9" t="s">
        <v>69</v>
      </c>
      <c r="D139" s="523" t="s">
        <v>52</v>
      </c>
      <c r="E139" s="101">
        <f t="shared" si="31"/>
        <v>0.1949285714285714</v>
      </c>
      <c r="F139" s="97">
        <f t="shared" si="32"/>
        <v>8.9755102040816312E-2</v>
      </c>
      <c r="G139" s="97">
        <f t="shared" si="33"/>
        <v>4.5999999999999999E-2</v>
      </c>
      <c r="H139" s="377">
        <f t="shared" si="34"/>
        <v>0.4</v>
      </c>
      <c r="I139" s="132">
        <v>4.5999999999999999E-2</v>
      </c>
      <c r="J139" s="15">
        <v>5.7000000000000002E-2</v>
      </c>
      <c r="K139" s="15">
        <v>0.107</v>
      </c>
      <c r="L139" s="15">
        <v>0.11799999999999999</v>
      </c>
      <c r="M139" s="15">
        <v>0.14099999999999999</v>
      </c>
      <c r="N139" s="21">
        <v>0.16</v>
      </c>
      <c r="O139" s="21">
        <v>0.17</v>
      </c>
      <c r="P139" s="15">
        <v>0.17399999999999999</v>
      </c>
      <c r="Q139" s="15">
        <v>0.17399999999999999</v>
      </c>
      <c r="R139" s="15">
        <v>0.17399999999999999</v>
      </c>
      <c r="S139" s="144">
        <v>0.26200000000000001</v>
      </c>
      <c r="T139" s="144">
        <v>0.34599999999999997</v>
      </c>
      <c r="U139" s="144">
        <v>0.4</v>
      </c>
      <c r="V139" s="146">
        <v>0.4</v>
      </c>
    </row>
    <row r="140" spans="1:30" s="48" customFormat="1" ht="15" customHeight="1" x14ac:dyDescent="0.3">
      <c r="A140" s="50" t="s">
        <v>51</v>
      </c>
      <c r="B140" s="44" t="s">
        <v>27</v>
      </c>
      <c r="C140" s="9" t="s">
        <v>69</v>
      </c>
      <c r="D140" s="523" t="s">
        <v>52</v>
      </c>
      <c r="E140" s="101">
        <f t="shared" si="31"/>
        <v>0.11285714285714286</v>
      </c>
      <c r="F140" s="97">
        <f t="shared" si="32"/>
        <v>6.2938775510204076E-2</v>
      </c>
      <c r="G140" s="97">
        <f t="shared" si="33"/>
        <v>2.3E-2</v>
      </c>
      <c r="H140" s="377">
        <f t="shared" si="34"/>
        <v>0.25</v>
      </c>
      <c r="I140" s="132">
        <v>2.3E-2</v>
      </c>
      <c r="J140" s="15">
        <v>2.5000000000000001E-2</v>
      </c>
      <c r="K140" s="15">
        <v>3.2000000000000001E-2</v>
      </c>
      <c r="L140" s="15">
        <v>3.4000000000000002E-2</v>
      </c>
      <c r="M140" s="21">
        <v>7.0000000000000007E-2</v>
      </c>
      <c r="N140" s="21">
        <v>0.1</v>
      </c>
      <c r="O140" s="21">
        <v>0.08</v>
      </c>
      <c r="P140" s="14">
        <v>0.108</v>
      </c>
      <c r="Q140" s="15">
        <v>0.108</v>
      </c>
      <c r="R140" s="15">
        <v>0.108</v>
      </c>
      <c r="S140" s="144">
        <v>0.16300000000000001</v>
      </c>
      <c r="T140" s="144">
        <v>0.22900000000000001</v>
      </c>
      <c r="U140" s="140">
        <v>0.25</v>
      </c>
      <c r="V140" s="224">
        <v>0.25</v>
      </c>
    </row>
    <row r="141" spans="1:30" s="48" customFormat="1" ht="15" customHeight="1" x14ac:dyDescent="0.3">
      <c r="A141" s="52" t="s">
        <v>60</v>
      </c>
      <c r="B141" s="59" t="s">
        <v>28</v>
      </c>
      <c r="C141" s="9" t="s">
        <v>69</v>
      </c>
      <c r="D141" s="523" t="s">
        <v>52</v>
      </c>
      <c r="E141" s="101">
        <f t="shared" si="31"/>
        <v>9.9999999999999985E-3</v>
      </c>
      <c r="F141" s="97">
        <f t="shared" si="32"/>
        <v>1.7347234759768071E-18</v>
      </c>
      <c r="G141" s="97">
        <f t="shared" si="33"/>
        <v>0.01</v>
      </c>
      <c r="H141" s="377">
        <f t="shared" si="34"/>
        <v>0.01</v>
      </c>
      <c r="I141" s="129">
        <v>0.01</v>
      </c>
      <c r="J141" s="18">
        <v>0.01</v>
      </c>
      <c r="K141" s="18">
        <v>0.01</v>
      </c>
      <c r="L141" s="18">
        <v>0.01</v>
      </c>
      <c r="M141" s="18">
        <v>0.01</v>
      </c>
      <c r="N141" s="18">
        <v>0.01</v>
      </c>
      <c r="O141" s="18">
        <v>0.01</v>
      </c>
      <c r="P141" s="18">
        <v>0.01</v>
      </c>
      <c r="Q141" s="18">
        <v>0.01</v>
      </c>
      <c r="R141" s="18">
        <v>0.01</v>
      </c>
      <c r="S141" s="17">
        <v>0.01</v>
      </c>
      <c r="T141" s="17">
        <v>0.01</v>
      </c>
      <c r="U141" s="17">
        <v>0.01</v>
      </c>
      <c r="V141" s="19">
        <v>0.01</v>
      </c>
    </row>
    <row r="142" spans="1:30" s="48" customFormat="1" ht="15" customHeight="1" x14ac:dyDescent="0.3">
      <c r="A142" s="50" t="s">
        <v>17</v>
      </c>
      <c r="B142" s="44" t="s">
        <v>101</v>
      </c>
      <c r="C142" s="9" t="s">
        <v>70</v>
      </c>
      <c r="D142" s="523" t="s">
        <v>52</v>
      </c>
      <c r="E142" s="101">
        <f t="shared" si="31"/>
        <v>0.942642857142857</v>
      </c>
      <c r="F142" s="97">
        <f t="shared" si="32"/>
        <v>1.6163265306122405E-2</v>
      </c>
      <c r="G142" s="97">
        <f t="shared" si="33"/>
        <v>0.91800000000000004</v>
      </c>
      <c r="H142" s="377">
        <f t="shared" si="34"/>
        <v>0.98599999999999999</v>
      </c>
      <c r="I142" s="141">
        <v>0.93700000000000006</v>
      </c>
      <c r="J142" s="140">
        <v>0.94099999999999995</v>
      </c>
      <c r="K142" s="140">
        <v>0.95699999999999996</v>
      </c>
      <c r="L142" s="140">
        <v>0.96099999999999997</v>
      </c>
      <c r="M142" s="140">
        <v>0.97499999999999998</v>
      </c>
      <c r="N142" s="140">
        <v>0.98599999999999999</v>
      </c>
      <c r="O142" s="140">
        <v>0.94</v>
      </c>
      <c r="P142" s="140">
        <v>0.91800000000000004</v>
      </c>
      <c r="Q142" s="140">
        <v>0.94499999999999995</v>
      </c>
      <c r="R142" s="140">
        <v>0.94499999999999995</v>
      </c>
      <c r="S142" s="140">
        <v>0.93500000000000005</v>
      </c>
      <c r="T142" s="140">
        <v>0.92100000000000004</v>
      </c>
      <c r="U142" s="140">
        <v>0.91800000000000004</v>
      </c>
      <c r="V142" s="224">
        <v>0.91800000000000004</v>
      </c>
    </row>
    <row r="143" spans="1:30" s="48" customFormat="1" ht="15" customHeight="1" thickBot="1" x14ac:dyDescent="0.35">
      <c r="A143" s="54" t="s">
        <v>18</v>
      </c>
      <c r="B143" s="61" t="s">
        <v>102</v>
      </c>
      <c r="C143" s="10" t="s">
        <v>70</v>
      </c>
      <c r="D143" s="524" t="s">
        <v>52</v>
      </c>
      <c r="E143" s="104">
        <f t="shared" si="31"/>
        <v>0.93457142857142839</v>
      </c>
      <c r="F143" s="105">
        <f t="shared" si="32"/>
        <v>1.328571428571425E-2</v>
      </c>
      <c r="G143" s="105">
        <f t="shared" si="33"/>
        <v>0.91600000000000004</v>
      </c>
      <c r="H143" s="380">
        <f t="shared" si="34"/>
        <v>0.95199999999999996</v>
      </c>
      <c r="I143" s="108">
        <v>0.95199999999999996</v>
      </c>
      <c r="J143" s="11">
        <v>0.95199999999999996</v>
      </c>
      <c r="K143" s="11">
        <v>0.95199999999999996</v>
      </c>
      <c r="L143" s="11">
        <v>0.95199999999999996</v>
      </c>
      <c r="M143" s="11">
        <v>0.94299999999999995</v>
      </c>
      <c r="N143" s="11">
        <v>0.93600000000000005</v>
      </c>
      <c r="O143" s="11">
        <v>0.94799999999999995</v>
      </c>
      <c r="P143" s="11">
        <v>0.91600000000000004</v>
      </c>
      <c r="Q143" s="11">
        <v>0.92700000000000005</v>
      </c>
      <c r="R143" s="11">
        <v>0.92700000000000005</v>
      </c>
      <c r="S143" s="11">
        <v>0.92400000000000004</v>
      </c>
      <c r="T143" s="11">
        <v>0.91900000000000004</v>
      </c>
      <c r="U143" s="11">
        <v>0.91800000000000004</v>
      </c>
      <c r="V143" s="12">
        <v>0.91800000000000004</v>
      </c>
    </row>
    <row r="144" spans="1:30" s="37" customFormat="1" ht="25.05" customHeight="1" thickBot="1" x14ac:dyDescent="0.35">
      <c r="A144" s="69"/>
      <c r="B144" s="69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</row>
    <row r="145" spans="1:115" s="48" customFormat="1" ht="16.5" customHeight="1" thickBot="1" x14ac:dyDescent="0.35">
      <c r="A145" s="115" t="s">
        <v>132</v>
      </c>
      <c r="B145" s="116"/>
      <c r="C145" s="116"/>
      <c r="D145" s="375" t="s">
        <v>132</v>
      </c>
      <c r="E145" s="1013" t="s">
        <v>132</v>
      </c>
      <c r="F145" s="1014"/>
      <c r="G145" s="1014"/>
      <c r="H145" s="1015"/>
      <c r="I145" s="1010" t="s">
        <v>132</v>
      </c>
      <c r="J145" s="1011"/>
      <c r="K145" s="1011"/>
      <c r="L145" s="1011"/>
      <c r="M145" s="1011"/>
      <c r="N145" s="1011"/>
      <c r="O145" s="1011"/>
      <c r="P145" s="1012"/>
      <c r="Q145" s="1010" t="s">
        <v>132</v>
      </c>
      <c r="R145" s="1011"/>
      <c r="S145" s="1012"/>
      <c r="T145" s="836" t="s">
        <v>132</v>
      </c>
      <c r="U145" s="841"/>
      <c r="V145" s="841"/>
      <c r="W145" s="841"/>
      <c r="X145" s="841"/>
      <c r="Y145" s="841"/>
      <c r="Z145" s="841"/>
      <c r="AA145" s="841"/>
      <c r="AB145" s="841"/>
      <c r="AC145" s="841"/>
      <c r="AD145" s="841"/>
      <c r="AE145" s="841"/>
      <c r="AF145" s="841"/>
      <c r="AG145" s="841"/>
      <c r="AH145" s="838"/>
      <c r="AI145" s="836" t="s">
        <v>132</v>
      </c>
      <c r="AJ145" s="841"/>
      <c r="AK145" s="841"/>
      <c r="AL145" s="841"/>
      <c r="AM145" s="841"/>
      <c r="AN145" s="841"/>
      <c r="AO145" s="841"/>
      <c r="AP145" s="841"/>
      <c r="AQ145" s="841"/>
      <c r="AR145" s="841"/>
      <c r="AS145" s="841"/>
      <c r="AT145" s="838"/>
      <c r="AU145" s="836" t="s">
        <v>132</v>
      </c>
      <c r="AV145" s="841"/>
      <c r="AW145" s="841"/>
      <c r="AX145" s="841"/>
      <c r="AY145" s="841"/>
      <c r="AZ145" s="841"/>
      <c r="BA145" s="841"/>
      <c r="BB145" s="841"/>
      <c r="BC145" s="841"/>
      <c r="BD145" s="841"/>
      <c r="BE145" s="841"/>
      <c r="BF145" s="838"/>
      <c r="BG145" s="1010" t="s">
        <v>132</v>
      </c>
      <c r="BH145" s="1011"/>
      <c r="BI145" s="1011"/>
      <c r="BJ145" s="1011"/>
      <c r="BK145" s="1011"/>
      <c r="BL145" s="1012"/>
      <c r="BM145" s="1063" t="s">
        <v>132</v>
      </c>
      <c r="BN145" s="1061"/>
      <c r="BO145" s="1062"/>
      <c r="BP145" s="1063" t="s">
        <v>132</v>
      </c>
      <c r="BQ145" s="1061"/>
      <c r="BR145" s="1062"/>
      <c r="BS145" s="976" t="s">
        <v>132</v>
      </c>
      <c r="BT145" s="977"/>
      <c r="BU145" s="977"/>
      <c r="BV145" s="977"/>
      <c r="BW145" s="977"/>
      <c r="BX145" s="977"/>
      <c r="BY145" s="977"/>
      <c r="BZ145" s="977"/>
      <c r="CA145" s="977"/>
      <c r="CB145" s="977"/>
      <c r="CC145" s="977"/>
      <c r="CD145" s="977"/>
      <c r="CE145" s="978"/>
      <c r="CF145" s="836" t="s">
        <v>132</v>
      </c>
      <c r="CG145" s="841"/>
      <c r="CH145" s="841"/>
      <c r="CI145" s="841"/>
      <c r="CJ145" s="841"/>
      <c r="CK145" s="841"/>
      <c r="CL145" s="841"/>
      <c r="CM145" s="841"/>
      <c r="CN145" s="841"/>
      <c r="CO145" s="841"/>
      <c r="CP145" s="841"/>
      <c r="CQ145" s="841"/>
      <c r="CR145" s="838"/>
      <c r="CS145" s="1063" t="s">
        <v>132</v>
      </c>
      <c r="CT145" s="1061"/>
      <c r="CU145" s="1061"/>
      <c r="CV145" s="1061"/>
      <c r="CW145" s="1061"/>
      <c r="CX145" s="1061"/>
      <c r="CY145" s="1061"/>
      <c r="CZ145" s="1062"/>
      <c r="DA145" s="1063" t="s">
        <v>132</v>
      </c>
      <c r="DB145" s="1061"/>
      <c r="DC145" s="1061"/>
      <c r="DD145" s="1061"/>
      <c r="DE145" s="1063" t="s">
        <v>132</v>
      </c>
      <c r="DF145" s="1062"/>
      <c r="DG145" s="1061" t="s">
        <v>132</v>
      </c>
      <c r="DH145" s="1061"/>
      <c r="DI145" s="1062"/>
      <c r="DJ145" s="1009" t="s">
        <v>132</v>
      </c>
      <c r="DK145" s="923"/>
    </row>
    <row r="146" spans="1:115" s="48" customFormat="1" ht="40.049999999999997" customHeight="1" thickBot="1" x14ac:dyDescent="0.35">
      <c r="A146" s="1025">
        <f>COUNTA(I146:DI146)</f>
        <v>105</v>
      </c>
      <c r="B146" s="1025"/>
      <c r="C146" s="1026"/>
      <c r="D146" s="262" t="s">
        <v>0</v>
      </c>
      <c r="E146" s="110" t="s">
        <v>31</v>
      </c>
      <c r="F146" s="573" t="s">
        <v>512</v>
      </c>
      <c r="G146" s="111" t="s">
        <v>57</v>
      </c>
      <c r="H146" s="112" t="s">
        <v>58</v>
      </c>
      <c r="I146" s="164" t="s">
        <v>139</v>
      </c>
      <c r="J146" s="165" t="s">
        <v>140</v>
      </c>
      <c r="K146" s="165" t="s">
        <v>141</v>
      </c>
      <c r="L146" s="165" t="s">
        <v>142</v>
      </c>
      <c r="M146" s="165" t="s">
        <v>143</v>
      </c>
      <c r="N146" s="165" t="s">
        <v>144</v>
      </c>
      <c r="O146" s="324" t="s">
        <v>145</v>
      </c>
      <c r="P146" s="509" t="s">
        <v>444</v>
      </c>
      <c r="Q146" s="165" t="s">
        <v>149</v>
      </c>
      <c r="R146" s="165" t="s">
        <v>150</v>
      </c>
      <c r="S146" s="166" t="s">
        <v>151</v>
      </c>
      <c r="T146" s="574" t="s">
        <v>448</v>
      </c>
      <c r="U146" s="574" t="s">
        <v>449</v>
      </c>
      <c r="V146" s="574" t="s">
        <v>449</v>
      </c>
      <c r="W146" s="574" t="s">
        <v>450</v>
      </c>
      <c r="X146" s="574" t="s">
        <v>451</v>
      </c>
      <c r="Y146" s="574" t="s">
        <v>452</v>
      </c>
      <c r="Z146" s="574" t="s">
        <v>453</v>
      </c>
      <c r="AA146" s="574" t="s">
        <v>454</v>
      </c>
      <c r="AB146" s="574" t="s">
        <v>455</v>
      </c>
      <c r="AC146" s="574" t="s">
        <v>456</v>
      </c>
      <c r="AD146" s="574" t="s">
        <v>457</v>
      </c>
      <c r="AE146" s="574" t="s">
        <v>457</v>
      </c>
      <c r="AF146" s="574" t="s">
        <v>457</v>
      </c>
      <c r="AG146" s="574" t="s">
        <v>458</v>
      </c>
      <c r="AH146" s="575" t="s">
        <v>459</v>
      </c>
      <c r="AI146" s="576" t="s">
        <v>460</v>
      </c>
      <c r="AJ146" s="574" t="s">
        <v>461</v>
      </c>
      <c r="AK146" s="574" t="s">
        <v>462</v>
      </c>
      <c r="AL146" s="574" t="s">
        <v>463</v>
      </c>
      <c r="AM146" s="574" t="s">
        <v>464</v>
      </c>
      <c r="AN146" s="574" t="s">
        <v>465</v>
      </c>
      <c r="AO146" s="574" t="s">
        <v>466</v>
      </c>
      <c r="AP146" s="574" t="s">
        <v>467</v>
      </c>
      <c r="AQ146" s="574" t="s">
        <v>467</v>
      </c>
      <c r="AR146" s="574" t="s">
        <v>467</v>
      </c>
      <c r="AS146" s="574" t="s">
        <v>468</v>
      </c>
      <c r="AT146" s="577" t="s">
        <v>469</v>
      </c>
      <c r="AU146" s="574" t="s">
        <v>470</v>
      </c>
      <c r="AV146" s="574" t="s">
        <v>471</v>
      </c>
      <c r="AW146" s="574" t="s">
        <v>472</v>
      </c>
      <c r="AX146" s="574" t="s">
        <v>473</v>
      </c>
      <c r="AY146" s="574" t="s">
        <v>474</v>
      </c>
      <c r="AZ146" s="574" t="s">
        <v>475</v>
      </c>
      <c r="BA146" s="574" t="s">
        <v>476</v>
      </c>
      <c r="BB146" s="574" t="s">
        <v>477</v>
      </c>
      <c r="BC146" s="573" t="s">
        <v>477</v>
      </c>
      <c r="BD146" s="574" t="s">
        <v>477</v>
      </c>
      <c r="BE146" s="574" t="s">
        <v>478</v>
      </c>
      <c r="BF146" s="577" t="s">
        <v>479</v>
      </c>
      <c r="BG146" s="164" t="s">
        <v>133</v>
      </c>
      <c r="BH146" s="165" t="s">
        <v>134</v>
      </c>
      <c r="BI146" s="165" t="s">
        <v>135</v>
      </c>
      <c r="BJ146" s="165" t="s">
        <v>136</v>
      </c>
      <c r="BK146" s="165" t="s">
        <v>137</v>
      </c>
      <c r="BL146" s="165" t="s">
        <v>138</v>
      </c>
      <c r="BM146" s="323" t="s">
        <v>146</v>
      </c>
      <c r="BN146" s="165" t="s">
        <v>147</v>
      </c>
      <c r="BO146" s="166" t="s">
        <v>148</v>
      </c>
      <c r="BP146" s="578" t="s">
        <v>445</v>
      </c>
      <c r="BQ146" s="579" t="s">
        <v>446</v>
      </c>
      <c r="BR146" s="580" t="s">
        <v>447</v>
      </c>
      <c r="BS146" s="576" t="s">
        <v>488</v>
      </c>
      <c r="BT146" s="584" t="s">
        <v>489</v>
      </c>
      <c r="BU146" s="584" t="s">
        <v>490</v>
      </c>
      <c r="BV146" s="584" t="s">
        <v>491</v>
      </c>
      <c r="BW146" s="584" t="s">
        <v>492</v>
      </c>
      <c r="BX146" s="584" t="s">
        <v>493</v>
      </c>
      <c r="BY146" s="584" t="s">
        <v>494</v>
      </c>
      <c r="BZ146" s="584" t="s">
        <v>495</v>
      </c>
      <c r="CA146" s="584" t="s">
        <v>495</v>
      </c>
      <c r="CB146" s="584" t="s">
        <v>495</v>
      </c>
      <c r="CC146" s="584" t="s">
        <v>496</v>
      </c>
      <c r="CD146" s="584" t="s">
        <v>497</v>
      </c>
      <c r="CE146" s="585" t="s">
        <v>499</v>
      </c>
      <c r="CF146" s="586" t="s">
        <v>500</v>
      </c>
      <c r="CG146" s="674" t="s">
        <v>501</v>
      </c>
      <c r="CH146" s="674" t="s">
        <v>502</v>
      </c>
      <c r="CI146" s="674" t="s">
        <v>503</v>
      </c>
      <c r="CJ146" s="674" t="s">
        <v>504</v>
      </c>
      <c r="CK146" s="674" t="s">
        <v>505</v>
      </c>
      <c r="CL146" s="674" t="s">
        <v>506</v>
      </c>
      <c r="CM146" s="674" t="s">
        <v>507</v>
      </c>
      <c r="CN146" s="674" t="s">
        <v>507</v>
      </c>
      <c r="CO146" s="674" t="s">
        <v>507</v>
      </c>
      <c r="CP146" s="674" t="s">
        <v>508</v>
      </c>
      <c r="CQ146" s="674" t="s">
        <v>509</v>
      </c>
      <c r="CR146" s="675" t="s">
        <v>511</v>
      </c>
      <c r="CS146" s="581" t="s">
        <v>480</v>
      </c>
      <c r="CT146" s="582" t="s">
        <v>481</v>
      </c>
      <c r="CU146" s="582" t="s">
        <v>482</v>
      </c>
      <c r="CV146" s="582" t="s">
        <v>483</v>
      </c>
      <c r="CW146" s="582" t="s">
        <v>484</v>
      </c>
      <c r="CX146" s="582" t="s">
        <v>485</v>
      </c>
      <c r="CY146" s="582" t="s">
        <v>486</v>
      </c>
      <c r="CZ146" s="583" t="s">
        <v>487</v>
      </c>
      <c r="DA146" s="581" t="s">
        <v>753</v>
      </c>
      <c r="DB146" s="582" t="s">
        <v>754</v>
      </c>
      <c r="DC146" s="582" t="s">
        <v>755</v>
      </c>
      <c r="DD146" s="826" t="s">
        <v>756</v>
      </c>
      <c r="DE146" s="829" t="s">
        <v>925</v>
      </c>
      <c r="DF146" s="830" t="s">
        <v>926</v>
      </c>
      <c r="DG146" s="831" t="s">
        <v>927</v>
      </c>
      <c r="DH146" s="828" t="s">
        <v>928</v>
      </c>
      <c r="DI146" s="830" t="s">
        <v>929</v>
      </c>
      <c r="DJ146" s="779" t="s">
        <v>498</v>
      </c>
      <c r="DK146" s="737" t="s">
        <v>510</v>
      </c>
    </row>
    <row r="147" spans="1:115" s="48" customFormat="1" ht="15" customHeight="1" thickBot="1" x14ac:dyDescent="0.35">
      <c r="A147" s="1027"/>
      <c r="B147" s="1027"/>
      <c r="C147" s="1028"/>
      <c r="D147" s="36" t="s">
        <v>33</v>
      </c>
      <c r="E147" s="971" t="s">
        <v>513</v>
      </c>
      <c r="F147" s="972"/>
      <c r="G147" s="972"/>
      <c r="H147" s="973"/>
      <c r="I147" s="988" t="s">
        <v>29</v>
      </c>
      <c r="J147" s="989"/>
      <c r="K147" s="989"/>
      <c r="L147" s="989"/>
      <c r="M147" s="989"/>
      <c r="N147" s="989"/>
      <c r="O147" s="989"/>
      <c r="P147" s="990"/>
      <c r="Q147" s="988" t="s">
        <v>29</v>
      </c>
      <c r="R147" s="989"/>
      <c r="S147" s="990"/>
      <c r="T147" s="858" t="s">
        <v>29</v>
      </c>
      <c r="U147" s="859"/>
      <c r="V147" s="859"/>
      <c r="W147" s="859"/>
      <c r="X147" s="859"/>
      <c r="Y147" s="859"/>
      <c r="Z147" s="859"/>
      <c r="AA147" s="859"/>
      <c r="AB147" s="859"/>
      <c r="AC147" s="859"/>
      <c r="AD147" s="859"/>
      <c r="AE147" s="859"/>
      <c r="AF147" s="859"/>
      <c r="AG147" s="859"/>
      <c r="AH147" s="860"/>
      <c r="AI147" s="858" t="s">
        <v>29</v>
      </c>
      <c r="AJ147" s="859"/>
      <c r="AK147" s="859"/>
      <c r="AL147" s="859"/>
      <c r="AM147" s="859"/>
      <c r="AN147" s="859"/>
      <c r="AO147" s="859"/>
      <c r="AP147" s="859"/>
      <c r="AQ147" s="859"/>
      <c r="AR147" s="859"/>
      <c r="AS147" s="859"/>
      <c r="AT147" s="860"/>
      <c r="AU147" s="858" t="s">
        <v>29</v>
      </c>
      <c r="AV147" s="859"/>
      <c r="AW147" s="859"/>
      <c r="AX147" s="859"/>
      <c r="AY147" s="859"/>
      <c r="AZ147" s="859"/>
      <c r="BA147" s="859"/>
      <c r="BB147" s="859"/>
      <c r="BC147" s="859"/>
      <c r="BD147" s="859"/>
      <c r="BE147" s="859"/>
      <c r="BF147" s="860"/>
      <c r="BG147" s="988" t="s">
        <v>29</v>
      </c>
      <c r="BH147" s="989"/>
      <c r="BI147" s="989"/>
      <c r="BJ147" s="989"/>
      <c r="BK147" s="989"/>
      <c r="BL147" s="990"/>
      <c r="BM147" s="988" t="s">
        <v>29</v>
      </c>
      <c r="BN147" s="989"/>
      <c r="BO147" s="990"/>
      <c r="BP147" s="988" t="s">
        <v>29</v>
      </c>
      <c r="BQ147" s="989"/>
      <c r="BR147" s="990"/>
      <c r="BS147" s="979" t="s">
        <v>29</v>
      </c>
      <c r="BT147" s="980"/>
      <c r="BU147" s="980"/>
      <c r="BV147" s="980"/>
      <c r="BW147" s="980"/>
      <c r="BX147" s="980"/>
      <c r="BY147" s="980"/>
      <c r="BZ147" s="980"/>
      <c r="CA147" s="980"/>
      <c r="CB147" s="980"/>
      <c r="CC147" s="980"/>
      <c r="CD147" s="980"/>
      <c r="CE147" s="981"/>
      <c r="CF147" s="858" t="s">
        <v>29</v>
      </c>
      <c r="CG147" s="859"/>
      <c r="CH147" s="859"/>
      <c r="CI147" s="859"/>
      <c r="CJ147" s="859"/>
      <c r="CK147" s="859"/>
      <c r="CL147" s="859"/>
      <c r="CM147" s="859"/>
      <c r="CN147" s="859"/>
      <c r="CO147" s="859"/>
      <c r="CP147" s="859"/>
      <c r="CQ147" s="859"/>
      <c r="CR147" s="860"/>
      <c r="CS147" s="858" t="s">
        <v>179</v>
      </c>
      <c r="CT147" s="859"/>
      <c r="CU147" s="859"/>
      <c r="CV147" s="859"/>
      <c r="CW147" s="859"/>
      <c r="CX147" s="859"/>
      <c r="CY147" s="859"/>
      <c r="CZ147" s="860"/>
      <c r="DA147" s="858" t="s">
        <v>677</v>
      </c>
      <c r="DB147" s="859"/>
      <c r="DC147" s="859"/>
      <c r="DD147" s="859"/>
      <c r="DE147" s="858" t="s">
        <v>924</v>
      </c>
      <c r="DF147" s="860"/>
      <c r="DG147" s="859" t="s">
        <v>179</v>
      </c>
      <c r="DH147" s="859"/>
      <c r="DI147" s="860"/>
      <c r="DJ147" s="1007" t="s">
        <v>29</v>
      </c>
      <c r="DK147" s="917"/>
    </row>
    <row r="148" spans="1:115" s="48" customFormat="1" ht="15" customHeight="1" thickBot="1" x14ac:dyDescent="0.35">
      <c r="A148" s="163" t="s">
        <v>121</v>
      </c>
      <c r="B148" s="122" t="s">
        <v>55</v>
      </c>
      <c r="C148" s="62" t="s">
        <v>1</v>
      </c>
      <c r="D148" s="56" t="s">
        <v>32</v>
      </c>
      <c r="E148" s="971"/>
      <c r="F148" s="972"/>
      <c r="G148" s="972"/>
      <c r="H148" s="973"/>
      <c r="I148" s="991"/>
      <c r="J148" s="992"/>
      <c r="K148" s="992"/>
      <c r="L148" s="992"/>
      <c r="M148" s="992"/>
      <c r="N148" s="992"/>
      <c r="O148" s="992"/>
      <c r="P148" s="993"/>
      <c r="Q148" s="991"/>
      <c r="R148" s="992"/>
      <c r="S148" s="993"/>
      <c r="T148" s="861"/>
      <c r="U148" s="862"/>
      <c r="V148" s="862"/>
      <c r="W148" s="862"/>
      <c r="X148" s="862"/>
      <c r="Y148" s="862"/>
      <c r="Z148" s="862"/>
      <c r="AA148" s="862"/>
      <c r="AB148" s="862"/>
      <c r="AC148" s="862"/>
      <c r="AD148" s="862"/>
      <c r="AE148" s="862"/>
      <c r="AF148" s="862"/>
      <c r="AG148" s="862"/>
      <c r="AH148" s="863"/>
      <c r="AI148" s="861"/>
      <c r="AJ148" s="862"/>
      <c r="AK148" s="862"/>
      <c r="AL148" s="862"/>
      <c r="AM148" s="862"/>
      <c r="AN148" s="862"/>
      <c r="AO148" s="862"/>
      <c r="AP148" s="862"/>
      <c r="AQ148" s="862"/>
      <c r="AR148" s="862"/>
      <c r="AS148" s="862"/>
      <c r="AT148" s="863"/>
      <c r="AU148" s="861"/>
      <c r="AV148" s="862"/>
      <c r="AW148" s="862"/>
      <c r="AX148" s="862"/>
      <c r="AY148" s="862"/>
      <c r="AZ148" s="862"/>
      <c r="BA148" s="862"/>
      <c r="BB148" s="862"/>
      <c r="BC148" s="862"/>
      <c r="BD148" s="862"/>
      <c r="BE148" s="862"/>
      <c r="BF148" s="863"/>
      <c r="BG148" s="991"/>
      <c r="BH148" s="992"/>
      <c r="BI148" s="992"/>
      <c r="BJ148" s="992"/>
      <c r="BK148" s="992"/>
      <c r="BL148" s="993"/>
      <c r="BM148" s="991"/>
      <c r="BN148" s="992"/>
      <c r="BO148" s="993"/>
      <c r="BP148" s="991"/>
      <c r="BQ148" s="992"/>
      <c r="BR148" s="993"/>
      <c r="BS148" s="982"/>
      <c r="BT148" s="983"/>
      <c r="BU148" s="983"/>
      <c r="BV148" s="983"/>
      <c r="BW148" s="983"/>
      <c r="BX148" s="983"/>
      <c r="BY148" s="983"/>
      <c r="BZ148" s="983"/>
      <c r="CA148" s="983"/>
      <c r="CB148" s="983"/>
      <c r="CC148" s="983"/>
      <c r="CD148" s="983"/>
      <c r="CE148" s="984"/>
      <c r="CF148" s="861"/>
      <c r="CG148" s="862"/>
      <c r="CH148" s="862"/>
      <c r="CI148" s="862"/>
      <c r="CJ148" s="862"/>
      <c r="CK148" s="862"/>
      <c r="CL148" s="862"/>
      <c r="CM148" s="862"/>
      <c r="CN148" s="862"/>
      <c r="CO148" s="862"/>
      <c r="CP148" s="862"/>
      <c r="CQ148" s="862"/>
      <c r="CR148" s="863"/>
      <c r="CS148" s="861"/>
      <c r="CT148" s="862"/>
      <c r="CU148" s="862"/>
      <c r="CV148" s="862"/>
      <c r="CW148" s="862"/>
      <c r="CX148" s="862"/>
      <c r="CY148" s="862"/>
      <c r="CZ148" s="863"/>
      <c r="DA148" s="861"/>
      <c r="DB148" s="862"/>
      <c r="DC148" s="862"/>
      <c r="DD148" s="862"/>
      <c r="DE148" s="861"/>
      <c r="DF148" s="863"/>
      <c r="DG148" s="862"/>
      <c r="DH148" s="862"/>
      <c r="DI148" s="863"/>
      <c r="DJ148" s="1008"/>
      <c r="DK148" s="920"/>
    </row>
    <row r="149" spans="1:115" s="48" customFormat="1" ht="15" customHeight="1" x14ac:dyDescent="0.3">
      <c r="A149" s="46" t="s">
        <v>5</v>
      </c>
      <c r="B149" s="60" t="s">
        <v>21</v>
      </c>
      <c r="C149" s="8" t="s">
        <v>69</v>
      </c>
      <c r="D149" s="522" t="s">
        <v>52</v>
      </c>
      <c r="E149" s="99">
        <f>AVERAGE(I149:AQ149)</f>
        <v>71.5</v>
      </c>
      <c r="F149" s="100">
        <f>AVEDEV(I149:DD149)</f>
        <v>33.855839999999993</v>
      </c>
      <c r="G149" s="100">
        <f>MIN(I149:AQ149)</f>
        <v>8</v>
      </c>
      <c r="H149" s="376">
        <f>MAX(I149:AQ149)</f>
        <v>300</v>
      </c>
      <c r="I149" s="537">
        <v>8</v>
      </c>
      <c r="J149" s="538">
        <v>12</v>
      </c>
      <c r="K149" s="538">
        <v>15</v>
      </c>
      <c r="L149" s="538">
        <v>22</v>
      </c>
      <c r="M149" s="538">
        <v>25</v>
      </c>
      <c r="N149" s="538">
        <v>30</v>
      </c>
      <c r="O149" s="539">
        <v>35</v>
      </c>
      <c r="P149" s="535">
        <v>38</v>
      </c>
      <c r="Q149" s="292">
        <v>150</v>
      </c>
      <c r="R149" s="292">
        <v>240</v>
      </c>
      <c r="S149" s="294">
        <v>300</v>
      </c>
      <c r="T149" s="541">
        <v>20</v>
      </c>
      <c r="U149" s="292">
        <v>30</v>
      </c>
      <c r="V149" s="292">
        <v>32.5</v>
      </c>
      <c r="W149" s="292">
        <v>40</v>
      </c>
      <c r="X149" s="292">
        <v>45</v>
      </c>
      <c r="Y149" s="292">
        <v>49.5</v>
      </c>
      <c r="Z149" s="292">
        <v>60</v>
      </c>
      <c r="AA149" s="292">
        <v>65</v>
      </c>
      <c r="AB149" s="292">
        <v>69.5</v>
      </c>
      <c r="AC149" s="292">
        <v>80</v>
      </c>
      <c r="AD149" s="292">
        <v>99</v>
      </c>
      <c r="AE149" s="292">
        <v>100</v>
      </c>
      <c r="AF149" s="292">
        <v>101</v>
      </c>
      <c r="AG149" s="292">
        <v>108</v>
      </c>
      <c r="AH149" s="197">
        <v>120</v>
      </c>
      <c r="AI149" s="537">
        <v>40</v>
      </c>
      <c r="AJ149" s="538">
        <v>45</v>
      </c>
      <c r="AK149" s="538">
        <v>49.5</v>
      </c>
      <c r="AL149" s="538">
        <v>60</v>
      </c>
      <c r="AM149" s="538">
        <v>65</v>
      </c>
      <c r="AN149" s="538">
        <v>69.5</v>
      </c>
      <c r="AO149" s="538">
        <v>80</v>
      </c>
      <c r="AP149" s="538">
        <v>99</v>
      </c>
      <c r="AQ149" s="538">
        <v>100</v>
      </c>
      <c r="AR149" s="538">
        <v>101</v>
      </c>
      <c r="AS149" s="538">
        <v>108</v>
      </c>
      <c r="AT149" s="535">
        <v>120</v>
      </c>
      <c r="AU149" s="554">
        <v>40</v>
      </c>
      <c r="AV149" s="554">
        <v>45</v>
      </c>
      <c r="AW149" s="554">
        <v>49.5</v>
      </c>
      <c r="AX149" s="554">
        <v>60</v>
      </c>
      <c r="AY149" s="554">
        <v>65</v>
      </c>
      <c r="AZ149" s="554">
        <v>69.5</v>
      </c>
      <c r="BA149" s="554">
        <v>80</v>
      </c>
      <c r="BB149" s="554">
        <v>99</v>
      </c>
      <c r="BC149" s="554">
        <v>100</v>
      </c>
      <c r="BD149" s="554">
        <v>101</v>
      </c>
      <c r="BE149" s="554">
        <v>108</v>
      </c>
      <c r="BF149" s="555">
        <v>120</v>
      </c>
      <c r="BG149" s="34">
        <v>45</v>
      </c>
      <c r="BH149" s="35">
        <v>49.5</v>
      </c>
      <c r="BI149" s="35">
        <v>55</v>
      </c>
      <c r="BJ149" s="35">
        <v>65</v>
      </c>
      <c r="BK149" s="35">
        <v>69.5</v>
      </c>
      <c r="BL149" s="35">
        <v>75</v>
      </c>
      <c r="BM149" s="562">
        <v>10.4</v>
      </c>
      <c r="BN149" s="292">
        <v>15</v>
      </c>
      <c r="BO149" s="197">
        <v>20</v>
      </c>
      <c r="BP149" s="540">
        <v>10.4</v>
      </c>
      <c r="BQ149" s="292">
        <v>15</v>
      </c>
      <c r="BR149" s="294">
        <v>20</v>
      </c>
      <c r="BS149" s="596">
        <v>45</v>
      </c>
      <c r="BT149" s="564">
        <v>49.5</v>
      </c>
      <c r="BU149" s="564">
        <v>55</v>
      </c>
      <c r="BV149" s="564">
        <v>65</v>
      </c>
      <c r="BW149" s="564">
        <v>69.5</v>
      </c>
      <c r="BX149" s="564">
        <v>75</v>
      </c>
      <c r="BY149" s="538">
        <v>95</v>
      </c>
      <c r="BZ149" s="538">
        <v>99</v>
      </c>
      <c r="CA149" s="538">
        <v>100</v>
      </c>
      <c r="CB149" s="538">
        <v>101</v>
      </c>
      <c r="CC149" s="538">
        <v>108</v>
      </c>
      <c r="CD149" s="538">
        <v>115</v>
      </c>
      <c r="CE149" s="535">
        <v>135</v>
      </c>
      <c r="CF149" s="565">
        <v>45</v>
      </c>
      <c r="CG149" s="35">
        <v>49.5</v>
      </c>
      <c r="CH149" s="35">
        <v>55</v>
      </c>
      <c r="CI149" s="35">
        <v>65</v>
      </c>
      <c r="CJ149" s="35">
        <v>69.5</v>
      </c>
      <c r="CK149" s="35">
        <v>75</v>
      </c>
      <c r="CL149" s="292">
        <v>95</v>
      </c>
      <c r="CM149" s="292">
        <v>99</v>
      </c>
      <c r="CN149" s="292">
        <v>100</v>
      </c>
      <c r="CO149" s="292">
        <v>101</v>
      </c>
      <c r="CP149" s="292">
        <v>108</v>
      </c>
      <c r="CQ149" s="292">
        <v>115</v>
      </c>
      <c r="CR149" s="294">
        <v>135</v>
      </c>
      <c r="CS149" s="293">
        <v>10</v>
      </c>
      <c r="CT149" s="292">
        <v>12</v>
      </c>
      <c r="CU149" s="292">
        <v>15</v>
      </c>
      <c r="CV149" s="292">
        <v>22</v>
      </c>
      <c r="CW149" s="292">
        <v>25</v>
      </c>
      <c r="CX149" s="292">
        <v>30</v>
      </c>
      <c r="CY149" s="292">
        <v>34.9</v>
      </c>
      <c r="CZ149" s="294">
        <v>40</v>
      </c>
      <c r="DA149" s="293">
        <v>22</v>
      </c>
      <c r="DB149" s="292">
        <v>30</v>
      </c>
      <c r="DC149" s="292">
        <v>30</v>
      </c>
      <c r="DD149" s="197">
        <v>35</v>
      </c>
      <c r="DE149" s="537">
        <v>12</v>
      </c>
      <c r="DF149" s="535">
        <v>15</v>
      </c>
      <c r="DG149" s="554">
        <v>40</v>
      </c>
      <c r="DH149" s="538">
        <v>50</v>
      </c>
      <c r="DI149" s="535">
        <v>60</v>
      </c>
      <c r="DJ149" s="827">
        <v>125</v>
      </c>
      <c r="DK149" s="740">
        <v>125</v>
      </c>
    </row>
    <row r="150" spans="1:115" s="48" customFormat="1" ht="15" customHeight="1" x14ac:dyDescent="0.3">
      <c r="A150" s="50" t="s">
        <v>6</v>
      </c>
      <c r="B150" s="44" t="s">
        <v>22</v>
      </c>
      <c r="C150" s="9" t="s">
        <v>70</v>
      </c>
      <c r="D150" s="523" t="s">
        <v>52</v>
      </c>
      <c r="E150" s="101"/>
      <c r="F150" s="97" t="e">
        <f t="shared" ref="F150:F158" si="35">AVEDEV(I150:DD150)</f>
        <v>#NUM!</v>
      </c>
      <c r="G150" s="97"/>
      <c r="H150" s="377"/>
      <c r="I150" s="3"/>
      <c r="J150" s="5"/>
      <c r="K150" s="5"/>
      <c r="L150" s="5"/>
      <c r="M150" s="5"/>
      <c r="N150" s="5"/>
      <c r="O150" s="4"/>
      <c r="P150" s="536"/>
      <c r="Q150" s="5"/>
      <c r="R150" s="5"/>
      <c r="S150" s="288"/>
      <c r="T150" s="542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543"/>
      <c r="AI150" s="550"/>
      <c r="AJ150" s="243"/>
      <c r="AK150" s="243"/>
      <c r="AL150" s="243"/>
      <c r="AM150" s="243"/>
      <c r="AN150" s="243"/>
      <c r="AO150" s="243"/>
      <c r="AP150" s="243"/>
      <c r="AQ150" s="243"/>
      <c r="AR150" s="243"/>
      <c r="AS150" s="243"/>
      <c r="AT150" s="551"/>
      <c r="AU150" s="542"/>
      <c r="AV150" s="542"/>
      <c r="AW150" s="542"/>
      <c r="AX150" s="542"/>
      <c r="AY150" s="542"/>
      <c r="AZ150" s="542"/>
      <c r="BA150" s="542"/>
      <c r="BB150" s="542"/>
      <c r="BC150" s="542"/>
      <c r="BD150" s="542"/>
      <c r="BE150" s="542"/>
      <c r="BF150" s="556"/>
      <c r="BG150" s="3"/>
      <c r="BH150" s="5"/>
      <c r="BI150" s="5"/>
      <c r="BJ150" s="5"/>
      <c r="BK150" s="5"/>
      <c r="BL150" s="5"/>
      <c r="BM150" s="563"/>
      <c r="BN150" s="222"/>
      <c r="BO150" s="255"/>
      <c r="BP150" s="249"/>
      <c r="BQ150" s="222"/>
      <c r="BR150" s="223"/>
      <c r="BS150" s="19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290"/>
      <c r="CF150" s="546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290"/>
      <c r="CS150" s="194"/>
      <c r="CT150" s="14"/>
      <c r="CU150" s="14"/>
      <c r="CV150" s="14"/>
      <c r="CW150" s="14"/>
      <c r="CX150" s="14"/>
      <c r="CY150" s="14"/>
      <c r="CZ150" s="290"/>
      <c r="DA150" s="194"/>
      <c r="DB150" s="14"/>
      <c r="DC150" s="14"/>
      <c r="DD150" s="193"/>
      <c r="DE150" s="194"/>
      <c r="DF150" s="290"/>
      <c r="DG150" s="546"/>
      <c r="DH150" s="14"/>
      <c r="DI150" s="290"/>
      <c r="DJ150" s="712"/>
      <c r="DK150" s="714"/>
    </row>
    <row r="151" spans="1:115" s="48" customFormat="1" ht="15" customHeight="1" x14ac:dyDescent="0.3">
      <c r="A151" s="50" t="s">
        <v>64</v>
      </c>
      <c r="B151" s="59" t="s">
        <v>103</v>
      </c>
      <c r="C151" s="9" t="s">
        <v>70</v>
      </c>
      <c r="D151" s="523" t="s">
        <v>61</v>
      </c>
      <c r="E151" s="102">
        <f t="shared" ref="E151:E158" si="36">AVERAGE(I151:AQ151)</f>
        <v>0.3000000000000001</v>
      </c>
      <c r="F151" s="98">
        <f t="shared" si="35"/>
        <v>4.9960036108132044E-16</v>
      </c>
      <c r="G151" s="98">
        <f t="shared" ref="G151:G158" si="37">MIN(I151:AQ151)</f>
        <v>0.3</v>
      </c>
      <c r="H151" s="378">
        <f t="shared" ref="H151:H158" si="38">MAX(I151:AQ151)</f>
        <v>0.3</v>
      </c>
      <c r="I151" s="82">
        <v>0.3</v>
      </c>
      <c r="J151" s="80">
        <v>0.3</v>
      </c>
      <c r="K151" s="80">
        <v>0.3</v>
      </c>
      <c r="L151" s="80">
        <v>0.3</v>
      </c>
      <c r="M151" s="80">
        <v>0.3</v>
      </c>
      <c r="N151" s="80">
        <v>0.3</v>
      </c>
      <c r="O151" s="83">
        <v>0.3</v>
      </c>
      <c r="P151" s="291">
        <v>0.3</v>
      </c>
      <c r="Q151" s="80">
        <v>0.3</v>
      </c>
      <c r="R151" s="80">
        <v>0.3</v>
      </c>
      <c r="S151" s="291">
        <v>0.3</v>
      </c>
      <c r="T151" s="544">
        <v>0.3</v>
      </c>
      <c r="U151" s="544">
        <v>0.3</v>
      </c>
      <c r="V151" s="544">
        <v>0.3</v>
      </c>
      <c r="W151" s="544">
        <v>0.3</v>
      </c>
      <c r="X151" s="544">
        <v>0.3</v>
      </c>
      <c r="Y151" s="544">
        <v>0.3</v>
      </c>
      <c r="Z151" s="544">
        <v>0.3</v>
      </c>
      <c r="AA151" s="544">
        <v>0.3</v>
      </c>
      <c r="AB151" s="544">
        <v>0.3</v>
      </c>
      <c r="AC151" s="544">
        <v>0.3</v>
      </c>
      <c r="AD151" s="544">
        <v>0.3</v>
      </c>
      <c r="AE151" s="544">
        <v>0.3</v>
      </c>
      <c r="AF151" s="544">
        <v>0.3</v>
      </c>
      <c r="AG151" s="544">
        <v>0.3</v>
      </c>
      <c r="AH151" s="545">
        <v>0.3</v>
      </c>
      <c r="AI151" s="82">
        <v>0.3</v>
      </c>
      <c r="AJ151" s="80">
        <v>0.3</v>
      </c>
      <c r="AK151" s="80">
        <v>0.3</v>
      </c>
      <c r="AL151" s="80">
        <v>0.3</v>
      </c>
      <c r="AM151" s="80">
        <v>0.3</v>
      </c>
      <c r="AN151" s="80">
        <v>0.3</v>
      </c>
      <c r="AO151" s="80">
        <v>0.3</v>
      </c>
      <c r="AP151" s="80">
        <v>0.3</v>
      </c>
      <c r="AQ151" s="80">
        <v>0.3</v>
      </c>
      <c r="AR151" s="80">
        <v>0.3</v>
      </c>
      <c r="AS151" s="80">
        <v>0.3</v>
      </c>
      <c r="AT151" s="291">
        <v>0.3</v>
      </c>
      <c r="AU151" s="544">
        <v>0.3</v>
      </c>
      <c r="AV151" s="544">
        <v>0.3</v>
      </c>
      <c r="AW151" s="544">
        <v>0.3</v>
      </c>
      <c r="AX151" s="544">
        <v>0.3</v>
      </c>
      <c r="AY151" s="544">
        <v>0.3</v>
      </c>
      <c r="AZ151" s="544">
        <v>0.3</v>
      </c>
      <c r="BA151" s="544">
        <v>0.3</v>
      </c>
      <c r="BB151" s="544">
        <v>0.3</v>
      </c>
      <c r="BC151" s="544">
        <v>0.3</v>
      </c>
      <c r="BD151" s="544">
        <v>0.3</v>
      </c>
      <c r="BE151" s="544">
        <v>0.3</v>
      </c>
      <c r="BF151" s="557">
        <v>0.3</v>
      </c>
      <c r="BG151" s="107">
        <v>0.3</v>
      </c>
      <c r="BH151" s="79">
        <v>0.3</v>
      </c>
      <c r="BI151" s="79">
        <v>0.3</v>
      </c>
      <c r="BJ151" s="79">
        <v>0.3</v>
      </c>
      <c r="BK151" s="79">
        <v>0.3</v>
      </c>
      <c r="BL151" s="79">
        <v>0.3</v>
      </c>
      <c r="BM151" s="544">
        <v>0.3</v>
      </c>
      <c r="BN151" s="80">
        <v>0.3</v>
      </c>
      <c r="BO151" s="83">
        <v>0.3</v>
      </c>
      <c r="BP151" s="82">
        <v>0.3</v>
      </c>
      <c r="BQ151" s="80">
        <v>0.3</v>
      </c>
      <c r="BR151" s="291">
        <v>0.3</v>
      </c>
      <c r="BS151" s="194">
        <v>0.3</v>
      </c>
      <c r="BT151" s="14">
        <v>0.3</v>
      </c>
      <c r="BU151" s="14">
        <v>0.3</v>
      </c>
      <c r="BV151" s="14">
        <v>0.3</v>
      </c>
      <c r="BW151" s="14">
        <v>0.3</v>
      </c>
      <c r="BX151" s="14">
        <v>0.3</v>
      </c>
      <c r="BY151" s="14">
        <v>0.3</v>
      </c>
      <c r="BZ151" s="14">
        <v>0.3</v>
      </c>
      <c r="CA151" s="14">
        <v>0.3</v>
      </c>
      <c r="CB151" s="14">
        <v>0.3</v>
      </c>
      <c r="CC151" s="14">
        <v>0.3</v>
      </c>
      <c r="CD151" s="14">
        <v>0.3</v>
      </c>
      <c r="CE151" s="290">
        <v>0.3</v>
      </c>
      <c r="CF151" s="546">
        <v>0.3</v>
      </c>
      <c r="CG151" s="14">
        <v>0.3</v>
      </c>
      <c r="CH151" s="14">
        <v>0.3</v>
      </c>
      <c r="CI151" s="14">
        <v>0.3</v>
      </c>
      <c r="CJ151" s="14">
        <v>0.3</v>
      </c>
      <c r="CK151" s="14">
        <v>0.3</v>
      </c>
      <c r="CL151" s="14">
        <v>0.3</v>
      </c>
      <c r="CM151" s="14">
        <v>0.3</v>
      </c>
      <c r="CN151" s="14">
        <v>0.3</v>
      </c>
      <c r="CO151" s="14">
        <v>0.3</v>
      </c>
      <c r="CP151" s="14">
        <v>0.3</v>
      </c>
      <c r="CQ151" s="14">
        <v>0.3</v>
      </c>
      <c r="CR151" s="290">
        <v>0.3</v>
      </c>
      <c r="CS151" s="194">
        <v>0.3</v>
      </c>
      <c r="CT151" s="14">
        <v>0.3</v>
      </c>
      <c r="CU151" s="14">
        <v>0.3</v>
      </c>
      <c r="CV151" s="14">
        <v>0.3</v>
      </c>
      <c r="CW151" s="14">
        <v>0.3</v>
      </c>
      <c r="CX151" s="14">
        <v>0.3</v>
      </c>
      <c r="CY151" s="14">
        <v>0.3</v>
      </c>
      <c r="CZ151" s="290">
        <v>0.3</v>
      </c>
      <c r="DA151" s="194">
        <v>0.3</v>
      </c>
      <c r="DB151" s="14">
        <v>0.3</v>
      </c>
      <c r="DC151" s="14">
        <v>0.3</v>
      </c>
      <c r="DD151" s="193">
        <v>0.3</v>
      </c>
      <c r="DE151" s="194">
        <v>0.3</v>
      </c>
      <c r="DF151" s="290">
        <v>0.3</v>
      </c>
      <c r="DG151" s="546">
        <v>0.3</v>
      </c>
      <c r="DH151" s="14">
        <v>0.3</v>
      </c>
      <c r="DI151" s="290">
        <v>0.3</v>
      </c>
      <c r="DJ151" s="718">
        <v>0.3</v>
      </c>
      <c r="DK151" s="720">
        <v>0.3</v>
      </c>
    </row>
    <row r="152" spans="1:115" s="48" customFormat="1" ht="15" customHeight="1" x14ac:dyDescent="0.3">
      <c r="A152" s="50" t="s">
        <v>3</v>
      </c>
      <c r="B152" s="44" t="s">
        <v>118</v>
      </c>
      <c r="C152" s="9" t="s">
        <v>71</v>
      </c>
      <c r="D152" s="523" t="s">
        <v>52</v>
      </c>
      <c r="E152" s="103">
        <f t="shared" si="36"/>
        <v>74.430769230769229</v>
      </c>
      <c r="F152" s="96">
        <f t="shared" si="35"/>
        <v>4.5307692307692227</v>
      </c>
      <c r="G152" s="96">
        <f t="shared" si="37"/>
        <v>70.599999999999994</v>
      </c>
      <c r="H152" s="379">
        <f t="shared" si="38"/>
        <v>79.599999999999994</v>
      </c>
      <c r="I152" s="194">
        <v>74.7</v>
      </c>
      <c r="J152" s="14">
        <v>70.599999999999994</v>
      </c>
      <c r="K152" s="192"/>
      <c r="L152" s="192">
        <v>73.3</v>
      </c>
      <c r="M152" s="192"/>
      <c r="N152" s="192"/>
      <c r="O152" s="193">
        <v>73.599999999999994</v>
      </c>
      <c r="P152" s="536"/>
      <c r="Q152" s="14">
        <v>77.099999999999994</v>
      </c>
      <c r="R152" s="14">
        <v>73.400000000000006</v>
      </c>
      <c r="S152" s="290">
        <v>73.3</v>
      </c>
      <c r="T152" s="546">
        <v>75.900000000000006</v>
      </c>
      <c r="U152" s="243"/>
      <c r="V152" s="243"/>
      <c r="W152" s="14">
        <v>74.099999999999994</v>
      </c>
      <c r="X152" s="243"/>
      <c r="Y152" s="243"/>
      <c r="Z152" s="243"/>
      <c r="AA152" s="243"/>
      <c r="AB152" s="243"/>
      <c r="AC152" s="14">
        <v>74.8</v>
      </c>
      <c r="AD152" s="243"/>
      <c r="AE152" s="243"/>
      <c r="AF152" s="243"/>
      <c r="AG152" s="243"/>
      <c r="AH152" s="193">
        <v>79.599999999999994</v>
      </c>
      <c r="AI152" s="194">
        <v>74.8</v>
      </c>
      <c r="AJ152" s="14"/>
      <c r="AK152" s="14"/>
      <c r="AL152" s="14"/>
      <c r="AM152" s="14"/>
      <c r="AN152" s="14"/>
      <c r="AO152" s="14">
        <v>72.400000000000006</v>
      </c>
      <c r="AP152" s="14"/>
      <c r="AQ152" s="14"/>
      <c r="AR152" s="14"/>
      <c r="AS152" s="14"/>
      <c r="AT152" s="290"/>
      <c r="AU152" s="546">
        <v>74.8</v>
      </c>
      <c r="AV152" s="546"/>
      <c r="AW152" s="546"/>
      <c r="AX152" s="546"/>
      <c r="AY152" s="546"/>
      <c r="AZ152" s="546"/>
      <c r="BA152" s="546">
        <v>72.400000000000006</v>
      </c>
      <c r="BB152" s="546"/>
      <c r="BC152" s="546"/>
      <c r="BD152" s="546"/>
      <c r="BE152" s="546"/>
      <c r="BF152" s="558"/>
      <c r="BG152" s="285"/>
      <c r="BH152" s="289"/>
      <c r="BI152" s="289"/>
      <c r="BJ152" s="289"/>
      <c r="BK152" s="289"/>
      <c r="BL152" s="289"/>
      <c r="BM152" s="546">
        <v>76.900000000000006</v>
      </c>
      <c r="BN152" s="14"/>
      <c r="BO152" s="193">
        <v>73.8</v>
      </c>
      <c r="BP152" s="194">
        <v>76.900000000000006</v>
      </c>
      <c r="BQ152" s="14"/>
      <c r="BR152" s="290">
        <v>73.8</v>
      </c>
      <c r="BS152" s="19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290">
        <v>71.7</v>
      </c>
      <c r="CF152" s="546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290">
        <v>71.7</v>
      </c>
      <c r="CS152" s="194">
        <v>52.1</v>
      </c>
      <c r="CT152" s="14"/>
      <c r="CU152" s="14"/>
      <c r="CV152" s="14">
        <v>52.3</v>
      </c>
      <c r="CW152" s="14"/>
      <c r="CX152" s="14"/>
      <c r="CY152" s="14">
        <v>52.9</v>
      </c>
      <c r="CZ152" s="290"/>
      <c r="DA152" s="194">
        <v>72.400000000000006</v>
      </c>
      <c r="DB152" s="14"/>
      <c r="DC152" s="14"/>
      <c r="DD152" s="193">
        <v>74.900000000000006</v>
      </c>
      <c r="DE152" s="194">
        <v>71.099999999999994</v>
      </c>
      <c r="DF152" s="290"/>
      <c r="DG152" s="546">
        <v>50.1</v>
      </c>
      <c r="DH152" s="14"/>
      <c r="DI152" s="290">
        <v>49.9</v>
      </c>
      <c r="DJ152" s="715"/>
      <c r="DK152" s="717"/>
    </row>
    <row r="153" spans="1:115" s="48" customFormat="1" ht="15" customHeight="1" x14ac:dyDescent="0.3">
      <c r="A153" s="50" t="s">
        <v>4</v>
      </c>
      <c r="B153" s="44" t="s">
        <v>117</v>
      </c>
      <c r="C153" s="9" t="s">
        <v>71</v>
      </c>
      <c r="D153" s="523" t="s">
        <v>52</v>
      </c>
      <c r="E153" s="103">
        <f t="shared" si="36"/>
        <v>70.692307692307693</v>
      </c>
      <c r="F153" s="96">
        <f t="shared" si="35"/>
        <v>6.5272189349112448</v>
      </c>
      <c r="G153" s="96">
        <f t="shared" si="37"/>
        <v>37.5</v>
      </c>
      <c r="H153" s="379">
        <f t="shared" si="38"/>
        <v>82</v>
      </c>
      <c r="I153" s="194">
        <v>71.900000000000006</v>
      </c>
      <c r="J153" s="14">
        <v>76.099999999999994</v>
      </c>
      <c r="K153" s="192"/>
      <c r="L153" s="192">
        <v>71.099999999999994</v>
      </c>
      <c r="M153" s="192"/>
      <c r="N153" s="192"/>
      <c r="O153" s="193">
        <v>72.900000000000006</v>
      </c>
      <c r="P153" s="536"/>
      <c r="Q153" s="14">
        <v>82</v>
      </c>
      <c r="R153" s="14">
        <v>70.900000000000006</v>
      </c>
      <c r="S153" s="290">
        <v>70.900000000000006</v>
      </c>
      <c r="T153" s="546">
        <v>74.2</v>
      </c>
      <c r="U153" s="243"/>
      <c r="V153" s="243"/>
      <c r="W153" s="14">
        <v>71.3</v>
      </c>
      <c r="X153" s="243"/>
      <c r="Y153" s="243"/>
      <c r="Z153" s="243"/>
      <c r="AA153" s="243"/>
      <c r="AB153" s="243"/>
      <c r="AC153" s="14">
        <v>37.5</v>
      </c>
      <c r="AD153" s="243"/>
      <c r="AE153" s="243"/>
      <c r="AF153" s="243"/>
      <c r="AG153" s="243"/>
      <c r="AH153" s="193">
        <v>74.3</v>
      </c>
      <c r="AI153" s="194">
        <v>72.2</v>
      </c>
      <c r="AJ153" s="14"/>
      <c r="AK153" s="14"/>
      <c r="AL153" s="14"/>
      <c r="AM153" s="14"/>
      <c r="AN153" s="14"/>
      <c r="AO153" s="14">
        <v>73.7</v>
      </c>
      <c r="AP153" s="14"/>
      <c r="AQ153" s="14"/>
      <c r="AR153" s="14"/>
      <c r="AS153" s="14"/>
      <c r="AT153" s="290"/>
      <c r="AU153" s="546">
        <v>72.2</v>
      </c>
      <c r="AV153" s="546"/>
      <c r="AW153" s="546"/>
      <c r="AX153" s="546"/>
      <c r="AY153" s="546"/>
      <c r="AZ153" s="546"/>
      <c r="BA153" s="546">
        <v>73.7</v>
      </c>
      <c r="BB153" s="546"/>
      <c r="BC153" s="546"/>
      <c r="BD153" s="546"/>
      <c r="BE153" s="546"/>
      <c r="BF153" s="558"/>
      <c r="BG153" s="484"/>
      <c r="BH153" s="6"/>
      <c r="BI153" s="6"/>
      <c r="BJ153" s="6"/>
      <c r="BK153" s="6"/>
      <c r="BL153" s="6"/>
      <c r="BM153" s="546">
        <v>72.2</v>
      </c>
      <c r="BN153" s="14"/>
      <c r="BO153" s="193">
        <v>71.599999999999994</v>
      </c>
      <c r="BP153" s="194">
        <v>72.2</v>
      </c>
      <c r="BQ153" s="14"/>
      <c r="BR153" s="290">
        <v>71.599999999999994</v>
      </c>
      <c r="BS153" s="19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290">
        <v>71.8</v>
      </c>
      <c r="CF153" s="546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290">
        <v>71.8</v>
      </c>
      <c r="CS153" s="194">
        <v>51.3</v>
      </c>
      <c r="CT153" s="14"/>
      <c r="CU153" s="14"/>
      <c r="CV153" s="14">
        <v>52.1</v>
      </c>
      <c r="CW153" s="14"/>
      <c r="CX153" s="14"/>
      <c r="CY153" s="14">
        <v>51.2</v>
      </c>
      <c r="CZ153" s="290"/>
      <c r="DA153" s="194">
        <v>75.5</v>
      </c>
      <c r="DB153" s="14"/>
      <c r="DC153" s="14"/>
      <c r="DD153" s="193">
        <v>74</v>
      </c>
      <c r="DE153" s="194">
        <v>71.2</v>
      </c>
      <c r="DF153" s="290"/>
      <c r="DG153" s="546">
        <v>50.6</v>
      </c>
      <c r="DH153" s="14"/>
      <c r="DI153" s="290">
        <v>50</v>
      </c>
      <c r="DJ153" s="721"/>
      <c r="DK153" s="723"/>
    </row>
    <row r="154" spans="1:115" s="48" customFormat="1" ht="15" customHeight="1" x14ac:dyDescent="0.3">
      <c r="A154" s="50" t="s">
        <v>59</v>
      </c>
      <c r="B154" s="44" t="s">
        <v>26</v>
      </c>
      <c r="C154" s="9" t="s">
        <v>69</v>
      </c>
      <c r="D154" s="523" t="s">
        <v>52</v>
      </c>
      <c r="E154" s="101">
        <f t="shared" si="36"/>
        <v>0.14751428571428571</v>
      </c>
      <c r="F154" s="97">
        <f t="shared" si="35"/>
        <v>4.2213200000000013E-2</v>
      </c>
      <c r="G154" s="97">
        <f t="shared" si="37"/>
        <v>5.8999999999999997E-2</v>
      </c>
      <c r="H154" s="377">
        <f t="shared" si="38"/>
        <v>0.47</v>
      </c>
      <c r="I154" s="195">
        <v>0.06</v>
      </c>
      <c r="J154" s="14">
        <v>5.8999999999999997E-2</v>
      </c>
      <c r="K154" s="14">
        <v>6.5000000000000002E-2</v>
      </c>
      <c r="L154" s="14">
        <v>7.8E-2</v>
      </c>
      <c r="M154" s="18">
        <v>8.5000000000000006E-2</v>
      </c>
      <c r="N154" s="14">
        <v>9.7000000000000003E-2</v>
      </c>
      <c r="O154" s="193">
        <v>0.109</v>
      </c>
      <c r="P154" s="290">
        <v>0.115</v>
      </c>
      <c r="Q154" s="289">
        <v>0.182</v>
      </c>
      <c r="R154" s="289">
        <v>0.41799999999999998</v>
      </c>
      <c r="S154" s="284">
        <v>0.47</v>
      </c>
      <c r="T154" s="547">
        <f>98/1000</f>
        <v>9.8000000000000004E-2</v>
      </c>
      <c r="U154" s="547">
        <f>108/1000</f>
        <v>0.108</v>
      </c>
      <c r="V154" s="547">
        <f>111/1000</f>
        <v>0.111</v>
      </c>
      <c r="W154" s="14">
        <f>118/1000</f>
        <v>0.11799999999999999</v>
      </c>
      <c r="X154" s="14">
        <f>122/1000</f>
        <v>0.122</v>
      </c>
      <c r="Y154" s="14">
        <f>125/1000</f>
        <v>0.125</v>
      </c>
      <c r="Z154" s="14">
        <f>134/1000</f>
        <v>0.13400000000000001</v>
      </c>
      <c r="AA154" s="14">
        <f>137/1000</f>
        <v>0.13700000000000001</v>
      </c>
      <c r="AB154" s="14">
        <f>141/1000</f>
        <v>0.14099999999999999</v>
      </c>
      <c r="AC154" s="14">
        <f>149/1000</f>
        <v>0.14899999999999999</v>
      </c>
      <c r="AD154" s="14">
        <f>182/1000</f>
        <v>0.182</v>
      </c>
      <c r="AE154" s="14">
        <v>0.184</v>
      </c>
      <c r="AF154" s="14">
        <f>186/1000</f>
        <v>0.186</v>
      </c>
      <c r="AG154" s="14">
        <f>198/1000</f>
        <v>0.19800000000000001</v>
      </c>
      <c r="AH154" s="193">
        <v>0.219</v>
      </c>
      <c r="AI154" s="194">
        <v>0.111</v>
      </c>
      <c r="AJ154" s="14">
        <v>0.115</v>
      </c>
      <c r="AK154" s="14">
        <v>0.11899999999999999</v>
      </c>
      <c r="AL154" s="14">
        <v>0.127</v>
      </c>
      <c r="AM154" s="14">
        <v>0.13100000000000001</v>
      </c>
      <c r="AN154" s="14">
        <v>0.13500000000000001</v>
      </c>
      <c r="AO154" s="14">
        <v>0.14299999999999999</v>
      </c>
      <c r="AP154" s="14">
        <v>0.16500000000000001</v>
      </c>
      <c r="AQ154" s="14">
        <v>0.16700000000000001</v>
      </c>
      <c r="AR154" s="14">
        <v>0.16800000000000001</v>
      </c>
      <c r="AS154" s="14">
        <v>0.17599999999999999</v>
      </c>
      <c r="AT154" s="290">
        <v>0.19</v>
      </c>
      <c r="AU154" s="546">
        <v>0.125</v>
      </c>
      <c r="AV154" s="546">
        <v>0.13100000000000001</v>
      </c>
      <c r="AW154" s="546">
        <v>0.13600000000000001</v>
      </c>
      <c r="AX154" s="546">
        <v>0.14899999999999999</v>
      </c>
      <c r="AY154" s="546">
        <v>0.154</v>
      </c>
      <c r="AZ154" s="546">
        <v>0.16</v>
      </c>
      <c r="BA154" s="546">
        <v>0.17199999999999999</v>
      </c>
      <c r="BB154" s="546">
        <v>0.19800000000000001</v>
      </c>
      <c r="BC154" s="546">
        <v>0.19900000000000001</v>
      </c>
      <c r="BD154" s="546">
        <v>0.20100000000000001</v>
      </c>
      <c r="BE154" s="546">
        <v>0.21</v>
      </c>
      <c r="BF154" s="558">
        <v>0.22700000000000001</v>
      </c>
      <c r="BG154" s="147">
        <v>0.122</v>
      </c>
      <c r="BH154" s="144">
        <v>0.125</v>
      </c>
      <c r="BI154" s="140">
        <v>0.13</v>
      </c>
      <c r="BJ154" s="144">
        <v>0.13700000000000001</v>
      </c>
      <c r="BK154" s="144">
        <v>0.14099999999999999</v>
      </c>
      <c r="BL154" s="144">
        <v>0.14499999999999999</v>
      </c>
      <c r="BM154" s="547">
        <v>0.06</v>
      </c>
      <c r="BN154" s="14">
        <v>7.2999999999999995E-2</v>
      </c>
      <c r="BO154" s="193">
        <v>8.6999999999999994E-2</v>
      </c>
      <c r="BP154" s="195">
        <v>0.06</v>
      </c>
      <c r="BQ154" s="14">
        <v>7.2999999999999995E-2</v>
      </c>
      <c r="BR154" s="290">
        <v>8.6999999999999994E-2</v>
      </c>
      <c r="BS154" s="194">
        <v>0.115</v>
      </c>
      <c r="BT154" s="14">
        <v>0.11899999999999999</v>
      </c>
      <c r="BU154" s="14">
        <v>0.123</v>
      </c>
      <c r="BV154" s="14">
        <v>0.13100000000000001</v>
      </c>
      <c r="BW154" s="14">
        <v>0.13500000000000001</v>
      </c>
      <c r="BX154" s="14">
        <v>0.13900000000000001</v>
      </c>
      <c r="BY154" s="14">
        <v>0.161</v>
      </c>
      <c r="BZ154" s="14">
        <v>0.16500000000000001</v>
      </c>
      <c r="CA154" s="14">
        <v>0.16700000000000001</v>
      </c>
      <c r="CB154" s="14">
        <v>0.16800000000000001</v>
      </c>
      <c r="CC154" s="14">
        <v>0.17599999999999999</v>
      </c>
      <c r="CD154" s="14">
        <v>0.184</v>
      </c>
      <c r="CE154" s="290">
        <v>0.20799999999999999</v>
      </c>
      <c r="CF154" s="546">
        <v>0.13100000000000001</v>
      </c>
      <c r="CG154" s="14">
        <v>0.13600000000000001</v>
      </c>
      <c r="CH154" s="14">
        <v>0.14299999999999999</v>
      </c>
      <c r="CI154" s="14">
        <v>0.154</v>
      </c>
      <c r="CJ154" s="14">
        <v>0.16</v>
      </c>
      <c r="CK154" s="14">
        <v>0.16600000000000001</v>
      </c>
      <c r="CL154" s="14">
        <v>0.192</v>
      </c>
      <c r="CM154" s="14">
        <v>0.19800000000000001</v>
      </c>
      <c r="CN154" s="14">
        <v>0.19900000000000001</v>
      </c>
      <c r="CO154" s="14">
        <v>0.20100000000000001</v>
      </c>
      <c r="CP154" s="14">
        <v>0.21</v>
      </c>
      <c r="CQ154" s="14">
        <v>0.22</v>
      </c>
      <c r="CR154" s="290">
        <v>0.247</v>
      </c>
      <c r="CS154" s="194">
        <f>66/1000</f>
        <v>6.6000000000000003E-2</v>
      </c>
      <c r="CT154" s="14">
        <f>72/1000</f>
        <v>7.1999999999999995E-2</v>
      </c>
      <c r="CU154" s="18">
        <f>80/1000</f>
        <v>0.08</v>
      </c>
      <c r="CV154" s="14">
        <f>94/1000</f>
        <v>9.4E-2</v>
      </c>
      <c r="CW154" s="14">
        <f>98/1000</f>
        <v>9.8000000000000004E-2</v>
      </c>
      <c r="CX154" s="14">
        <f>104/1000</f>
        <v>0.104</v>
      </c>
      <c r="CY154" s="14">
        <f>110/1000</f>
        <v>0.11</v>
      </c>
      <c r="CZ154" s="290">
        <f>114/1000</f>
        <v>0.114</v>
      </c>
      <c r="DA154" s="194">
        <v>8.1000000000000003E-2</v>
      </c>
      <c r="DB154" s="14">
        <v>9.9000000000000005E-2</v>
      </c>
      <c r="DC154" s="18">
        <v>9.9000000000000005E-2</v>
      </c>
      <c r="DD154" s="193">
        <v>0.11</v>
      </c>
      <c r="DE154" s="194">
        <v>0.06</v>
      </c>
      <c r="DF154" s="290">
        <v>6.5000000000000002E-2</v>
      </c>
      <c r="DG154" s="547">
        <v>0.27700000000000002</v>
      </c>
      <c r="DH154" s="14">
        <v>0.311</v>
      </c>
      <c r="DI154" s="290">
        <v>0.34499999999999997</v>
      </c>
      <c r="DJ154" s="724">
        <v>0.20499999999999999</v>
      </c>
      <c r="DK154" s="726">
        <v>0.22</v>
      </c>
    </row>
    <row r="155" spans="1:115" s="48" customFormat="1" ht="15" customHeight="1" x14ac:dyDescent="0.3">
      <c r="A155" s="50" t="s">
        <v>51</v>
      </c>
      <c r="B155" s="44" t="s">
        <v>27</v>
      </c>
      <c r="C155" s="9" t="s">
        <v>69</v>
      </c>
      <c r="D155" s="523" t="s">
        <v>52</v>
      </c>
      <c r="E155" s="101">
        <f t="shared" si="36"/>
        <v>9.1457142857142876E-2</v>
      </c>
      <c r="F155" s="97">
        <f t="shared" si="35"/>
        <v>2.4152E-2</v>
      </c>
      <c r="G155" s="97">
        <f t="shared" si="37"/>
        <v>4.1000000000000002E-2</v>
      </c>
      <c r="H155" s="377">
        <f t="shared" si="38"/>
        <v>0.23799999999999999</v>
      </c>
      <c r="I155" s="194">
        <v>4.5999999999999999E-2</v>
      </c>
      <c r="J155" s="14">
        <v>4.1000000000000002E-2</v>
      </c>
      <c r="K155" s="14">
        <v>4.2999999999999997E-2</v>
      </c>
      <c r="L155" s="14">
        <v>4.5999999999999999E-2</v>
      </c>
      <c r="M155" s="14">
        <v>4.9000000000000002E-2</v>
      </c>
      <c r="N155" s="14">
        <v>5.5E-2</v>
      </c>
      <c r="O155" s="193">
        <v>0.06</v>
      </c>
      <c r="P155" s="290">
        <v>6.2E-2</v>
      </c>
      <c r="Q155" s="192">
        <v>0.11</v>
      </c>
      <c r="R155" s="192">
        <v>0.23799999999999999</v>
      </c>
      <c r="S155" s="283">
        <v>0.23799999999999999</v>
      </c>
      <c r="T155" s="547">
        <f>56/1000</f>
        <v>5.6000000000000001E-2</v>
      </c>
      <c r="U155" s="547">
        <v>6.2E-2</v>
      </c>
      <c r="V155" s="547">
        <v>6.4000000000000001E-2</v>
      </c>
      <c r="W155" s="14">
        <f>68/1000</f>
        <v>6.8000000000000005E-2</v>
      </c>
      <c r="X155" s="14">
        <v>7.3999999999999996E-2</v>
      </c>
      <c r="Y155" s="14">
        <v>7.9000000000000001E-2</v>
      </c>
      <c r="Z155" s="14">
        <v>9.0999999999999998E-2</v>
      </c>
      <c r="AA155" s="14">
        <v>9.6000000000000002E-2</v>
      </c>
      <c r="AB155" s="14">
        <v>0.10100000000000001</v>
      </c>
      <c r="AC155" s="14">
        <v>0.113</v>
      </c>
      <c r="AD155" s="14">
        <v>0.11899999999999999</v>
      </c>
      <c r="AE155" s="14">
        <v>0.12</v>
      </c>
      <c r="AF155" s="14">
        <v>0.12</v>
      </c>
      <c r="AG155" s="14">
        <v>0.122</v>
      </c>
      <c r="AH155" s="193">
        <v>0.126</v>
      </c>
      <c r="AI155" s="194">
        <v>8.6999999999999994E-2</v>
      </c>
      <c r="AJ155" s="14">
        <v>8.6999999999999994E-2</v>
      </c>
      <c r="AK155" s="14">
        <v>8.6999999999999994E-2</v>
      </c>
      <c r="AL155" s="18">
        <v>8.7999999999999995E-2</v>
      </c>
      <c r="AM155" s="14">
        <v>8.7999999999999995E-2</v>
      </c>
      <c r="AN155" s="14">
        <v>8.7999999999999995E-2</v>
      </c>
      <c r="AO155" s="14">
        <v>8.8999999999999996E-2</v>
      </c>
      <c r="AP155" s="14">
        <v>9.4E-2</v>
      </c>
      <c r="AQ155" s="14">
        <v>9.4E-2</v>
      </c>
      <c r="AR155" s="14">
        <v>9.4E-2</v>
      </c>
      <c r="AS155" s="18">
        <v>9.6000000000000002E-2</v>
      </c>
      <c r="AT155" s="290">
        <v>9.9000000000000005E-2</v>
      </c>
      <c r="AU155" s="546">
        <v>9.5000000000000001E-2</v>
      </c>
      <c r="AV155" s="546">
        <v>9.6000000000000002E-2</v>
      </c>
      <c r="AW155" s="546">
        <v>9.7000000000000003E-2</v>
      </c>
      <c r="AX155" s="547">
        <v>9.9000000000000005E-2</v>
      </c>
      <c r="AY155" s="546">
        <v>9.9000000000000005E-2</v>
      </c>
      <c r="AZ155" s="546">
        <v>0.1</v>
      </c>
      <c r="BA155" s="546">
        <v>0.10199999999999999</v>
      </c>
      <c r="BB155" s="546">
        <v>0.115</v>
      </c>
      <c r="BC155" s="546">
        <v>0.115</v>
      </c>
      <c r="BD155" s="546">
        <v>0.11600000000000001</v>
      </c>
      <c r="BE155" s="547">
        <v>0.121</v>
      </c>
      <c r="BF155" s="559">
        <v>0.129</v>
      </c>
      <c r="BG155" s="147">
        <v>7.3999999999999996E-2</v>
      </c>
      <c r="BH155" s="144">
        <v>7.9000000000000001E-2</v>
      </c>
      <c r="BI155" s="144">
        <v>8.5000000000000006E-2</v>
      </c>
      <c r="BJ155" s="144">
        <v>9.6000000000000002E-2</v>
      </c>
      <c r="BK155" s="144">
        <v>0.10100000000000001</v>
      </c>
      <c r="BL155" s="144">
        <v>0.107</v>
      </c>
      <c r="BM155" s="546">
        <v>3.5999999999999997E-2</v>
      </c>
      <c r="BN155" s="14">
        <v>3.7999999999999999E-2</v>
      </c>
      <c r="BO155" s="193">
        <v>4.1000000000000002E-2</v>
      </c>
      <c r="BP155" s="194">
        <v>3.5999999999999997E-2</v>
      </c>
      <c r="BQ155" s="14">
        <v>3.7999999999999999E-2</v>
      </c>
      <c r="BR155" s="290">
        <v>4.1000000000000002E-2</v>
      </c>
      <c r="BS155" s="194">
        <v>8.6999999999999994E-2</v>
      </c>
      <c r="BT155" s="14">
        <v>8.6999999999999994E-2</v>
      </c>
      <c r="BU155" s="18">
        <v>8.7999999999999995E-2</v>
      </c>
      <c r="BV155" s="14">
        <v>8.7999999999999995E-2</v>
      </c>
      <c r="BW155" s="14">
        <v>8.7999999999999995E-2</v>
      </c>
      <c r="BX155" s="14">
        <v>8.8999999999999996E-2</v>
      </c>
      <c r="BY155" s="14">
        <v>9.2999999999999999E-2</v>
      </c>
      <c r="BZ155" s="14">
        <v>9.4E-2</v>
      </c>
      <c r="CA155" s="14">
        <v>9.4E-2</v>
      </c>
      <c r="CB155" s="14">
        <v>9.4E-2</v>
      </c>
      <c r="CC155" s="18">
        <v>9.6000000000000002E-2</v>
      </c>
      <c r="CD155" s="14">
        <v>9.8000000000000004E-2</v>
      </c>
      <c r="CE155" s="290">
        <v>0.10299999999999999</v>
      </c>
      <c r="CF155" s="546">
        <v>9.6000000000000002E-2</v>
      </c>
      <c r="CG155" s="14">
        <v>9.7000000000000003E-2</v>
      </c>
      <c r="CH155" s="18">
        <v>9.8000000000000004E-2</v>
      </c>
      <c r="CI155" s="14">
        <v>9.9000000000000005E-2</v>
      </c>
      <c r="CJ155" s="14">
        <v>0.1</v>
      </c>
      <c r="CK155" s="14">
        <v>0.10100000000000001</v>
      </c>
      <c r="CL155" s="14">
        <v>0.112</v>
      </c>
      <c r="CM155" s="14">
        <v>0.115</v>
      </c>
      <c r="CN155" s="14">
        <v>0.115</v>
      </c>
      <c r="CO155" s="14">
        <v>0.11600000000000001</v>
      </c>
      <c r="CP155" s="18">
        <v>0.121</v>
      </c>
      <c r="CQ155" s="14">
        <v>0.126</v>
      </c>
      <c r="CR155" s="84">
        <v>0.13900000000000001</v>
      </c>
      <c r="CS155" s="194">
        <f>42/1000</f>
        <v>4.2000000000000003E-2</v>
      </c>
      <c r="CT155" s="14">
        <f>43/1000</f>
        <v>4.2999999999999997E-2</v>
      </c>
      <c r="CU155" s="14">
        <f>44/1000</f>
        <v>4.3999999999999997E-2</v>
      </c>
      <c r="CV155" s="14">
        <f>45/1000</f>
        <v>4.4999999999999998E-2</v>
      </c>
      <c r="CW155" s="14">
        <f>47/1000</f>
        <v>4.7E-2</v>
      </c>
      <c r="CX155" s="14">
        <f>51/1000</f>
        <v>5.0999999999999997E-2</v>
      </c>
      <c r="CY155" s="14">
        <f>54/1000</f>
        <v>5.3999999999999999E-2</v>
      </c>
      <c r="CZ155" s="290">
        <f>57/1000</f>
        <v>5.7000000000000002E-2</v>
      </c>
      <c r="DA155" s="194">
        <v>0.05</v>
      </c>
      <c r="DB155" s="14">
        <v>5.2999999999999999E-2</v>
      </c>
      <c r="DC155" s="14">
        <v>5.2999999999999999E-2</v>
      </c>
      <c r="DD155" s="193">
        <v>5.5E-2</v>
      </c>
      <c r="DE155" s="194">
        <v>3.7999999999999999E-2</v>
      </c>
      <c r="DF155" s="290">
        <v>0.04</v>
      </c>
      <c r="DG155" s="546">
        <v>0.154</v>
      </c>
      <c r="DH155" s="14">
        <v>0.16400000000000001</v>
      </c>
      <c r="DI155" s="290">
        <v>0.17399999999999999</v>
      </c>
      <c r="DJ155" s="712">
        <v>0.10299999999999999</v>
      </c>
      <c r="DK155" s="714">
        <v>0.121</v>
      </c>
    </row>
    <row r="156" spans="1:115" s="48" customFormat="1" ht="15" customHeight="1" x14ac:dyDescent="0.3">
      <c r="A156" s="52" t="s">
        <v>60</v>
      </c>
      <c r="B156" s="59" t="s">
        <v>28</v>
      </c>
      <c r="C156" s="9" t="s">
        <v>69</v>
      </c>
      <c r="D156" s="523" t="s">
        <v>52</v>
      </c>
      <c r="E156" s="101">
        <f t="shared" si="36"/>
        <v>1.1725714285714292E-2</v>
      </c>
      <c r="F156" s="97">
        <f t="shared" si="35"/>
        <v>2.0891199999999955E-3</v>
      </c>
      <c r="G156" s="97">
        <f t="shared" si="37"/>
        <v>3.0000000000000001E-3</v>
      </c>
      <c r="H156" s="377">
        <f t="shared" si="38"/>
        <v>3.4000000000000002E-2</v>
      </c>
      <c r="I156" s="195">
        <v>9.4999999999999998E-3</v>
      </c>
      <c r="J156" s="18">
        <v>3.0000000000000001E-3</v>
      </c>
      <c r="K156" s="18">
        <v>3.0000000000000001E-3</v>
      </c>
      <c r="L156" s="18">
        <v>3.0000000000000001E-3</v>
      </c>
      <c r="M156" s="18">
        <v>3.0000000000000001E-3</v>
      </c>
      <c r="N156" s="18">
        <v>3.0000000000000001E-3</v>
      </c>
      <c r="O156" s="196">
        <v>3.0000000000000001E-3</v>
      </c>
      <c r="P156" s="84">
        <v>9.9000000000000008E-3</v>
      </c>
      <c r="Q156" s="282">
        <v>0.02</v>
      </c>
      <c r="R156" s="282">
        <v>3.4000000000000002E-2</v>
      </c>
      <c r="S156" s="693">
        <v>3.4000000000000002E-2</v>
      </c>
      <c r="T156" s="547">
        <f>13/1000</f>
        <v>1.2999999999999999E-2</v>
      </c>
      <c r="U156" s="18">
        <f t="shared" ref="U156:V156" si="39">13/1000</f>
        <v>1.2999999999999999E-2</v>
      </c>
      <c r="V156" s="18">
        <f t="shared" si="39"/>
        <v>1.2999999999999999E-2</v>
      </c>
      <c r="W156" s="18">
        <f>13/1000</f>
        <v>1.2999999999999999E-2</v>
      </c>
      <c r="X156" s="18">
        <f t="shared" ref="X156:AB156" si="40">13/1000</f>
        <v>1.2999999999999999E-2</v>
      </c>
      <c r="Y156" s="18">
        <f t="shared" si="40"/>
        <v>1.2999999999999999E-2</v>
      </c>
      <c r="Z156" s="18">
        <f t="shared" si="40"/>
        <v>1.2999999999999999E-2</v>
      </c>
      <c r="AA156" s="18">
        <f t="shared" si="40"/>
        <v>1.2999999999999999E-2</v>
      </c>
      <c r="AB156" s="18">
        <f t="shared" si="40"/>
        <v>1.2999999999999999E-2</v>
      </c>
      <c r="AC156" s="18">
        <f>13/1000</f>
        <v>1.2999999999999999E-2</v>
      </c>
      <c r="AD156" s="18">
        <f t="shared" ref="AD156:AG156" si="41">13/1000</f>
        <v>1.2999999999999999E-2</v>
      </c>
      <c r="AE156" s="18">
        <v>1.2999999999999999E-2</v>
      </c>
      <c r="AF156" s="18">
        <f t="shared" si="41"/>
        <v>1.2999999999999999E-2</v>
      </c>
      <c r="AG156" s="18">
        <f t="shared" si="41"/>
        <v>1.2999999999999999E-2</v>
      </c>
      <c r="AH156" s="196">
        <v>1.2999999999999999E-2</v>
      </c>
      <c r="AI156" s="692">
        <v>0.01</v>
      </c>
      <c r="AJ156" s="18">
        <v>0.01</v>
      </c>
      <c r="AK156" s="18">
        <v>0.01</v>
      </c>
      <c r="AL156" s="18">
        <v>0.01</v>
      </c>
      <c r="AM156" s="18">
        <v>0.01</v>
      </c>
      <c r="AN156" s="18">
        <v>0.01</v>
      </c>
      <c r="AO156" s="18">
        <v>0.01</v>
      </c>
      <c r="AP156" s="18">
        <v>0.01</v>
      </c>
      <c r="AQ156" s="18">
        <v>0.01</v>
      </c>
      <c r="AR156" s="18">
        <v>0.01</v>
      </c>
      <c r="AS156" s="18">
        <v>0.01</v>
      </c>
      <c r="AT156" s="84">
        <v>0.01</v>
      </c>
      <c r="AU156" s="547">
        <v>0.01</v>
      </c>
      <c r="AV156" s="547">
        <v>0.01</v>
      </c>
      <c r="AW156" s="547">
        <v>0.01</v>
      </c>
      <c r="AX156" s="547">
        <v>0.01</v>
      </c>
      <c r="AY156" s="547">
        <v>0.01</v>
      </c>
      <c r="AZ156" s="547">
        <v>0.01</v>
      </c>
      <c r="BA156" s="547">
        <v>0.01</v>
      </c>
      <c r="BB156" s="547">
        <v>0.01</v>
      </c>
      <c r="BC156" s="547">
        <v>0.01</v>
      </c>
      <c r="BD156" s="547">
        <v>0.01</v>
      </c>
      <c r="BE156" s="547">
        <v>0.01</v>
      </c>
      <c r="BF156" s="559">
        <v>0.01</v>
      </c>
      <c r="BG156" s="16">
        <v>1.2999999999999999E-2</v>
      </c>
      <c r="BH156" s="17">
        <v>1.2999999999999999E-2</v>
      </c>
      <c r="BI156" s="17">
        <v>1.2999999999999999E-2</v>
      </c>
      <c r="BJ156" s="17">
        <v>1.2999999999999999E-2</v>
      </c>
      <c r="BK156" s="17">
        <v>1.2999999999999999E-2</v>
      </c>
      <c r="BL156" s="17">
        <v>1.2999999999999999E-2</v>
      </c>
      <c r="BM156" s="547">
        <v>7.7000000000000002E-3</v>
      </c>
      <c r="BN156" s="18">
        <v>7.7000000000000002E-3</v>
      </c>
      <c r="BO156" s="196">
        <v>7.7000000000000002E-3</v>
      </c>
      <c r="BP156" s="195">
        <v>7.7000000000000002E-3</v>
      </c>
      <c r="BQ156" s="18">
        <v>7.7000000000000002E-3</v>
      </c>
      <c r="BR156" s="84">
        <v>7.7000000000000002E-3</v>
      </c>
      <c r="BS156" s="195">
        <v>0.01</v>
      </c>
      <c r="BT156" s="18">
        <v>0.01</v>
      </c>
      <c r="BU156" s="18">
        <v>0.01</v>
      </c>
      <c r="BV156" s="18">
        <v>0.01</v>
      </c>
      <c r="BW156" s="18">
        <v>0.01</v>
      </c>
      <c r="BX156" s="18">
        <v>0.01</v>
      </c>
      <c r="BY156" s="18">
        <v>0.01</v>
      </c>
      <c r="BZ156" s="18">
        <v>0.01</v>
      </c>
      <c r="CA156" s="18">
        <v>0.01</v>
      </c>
      <c r="CB156" s="18">
        <v>0.01</v>
      </c>
      <c r="CC156" s="18">
        <v>0.01</v>
      </c>
      <c r="CD156" s="18">
        <v>0.01</v>
      </c>
      <c r="CE156" s="84">
        <v>0.01</v>
      </c>
      <c r="CF156" s="692">
        <v>0.01</v>
      </c>
      <c r="CG156" s="18">
        <v>0.01</v>
      </c>
      <c r="CH156" s="18">
        <v>0.01</v>
      </c>
      <c r="CI156" s="18">
        <v>0.01</v>
      </c>
      <c r="CJ156" s="18">
        <v>0.01</v>
      </c>
      <c r="CK156" s="18">
        <v>0.01</v>
      </c>
      <c r="CL156" s="547">
        <v>0.01</v>
      </c>
      <c r="CM156" s="547">
        <v>0.01</v>
      </c>
      <c r="CN156" s="547">
        <v>0.01</v>
      </c>
      <c r="CO156" s="547">
        <v>0.01</v>
      </c>
      <c r="CP156" s="547">
        <v>0.01</v>
      </c>
      <c r="CQ156" s="547">
        <v>0.01</v>
      </c>
      <c r="CR156" s="84">
        <v>0.01</v>
      </c>
      <c r="CS156" s="195">
        <f>10.7/1000</f>
        <v>1.0699999999999999E-2</v>
      </c>
      <c r="CT156" s="547">
        <f t="shared" ref="CT156:CU156" si="42">10.7/1000</f>
        <v>1.0699999999999999E-2</v>
      </c>
      <c r="CU156" s="547">
        <f t="shared" si="42"/>
        <v>1.0699999999999999E-2</v>
      </c>
      <c r="CV156" s="18">
        <f>10.7/1000</f>
        <v>1.0699999999999999E-2</v>
      </c>
      <c r="CW156" s="18">
        <f t="shared" ref="CW156:CX156" si="43">10.7/1000</f>
        <v>1.0699999999999999E-2</v>
      </c>
      <c r="CX156" s="18">
        <f t="shared" si="43"/>
        <v>1.0699999999999999E-2</v>
      </c>
      <c r="CY156" s="18">
        <f>10.7/1000</f>
        <v>1.0699999999999999E-2</v>
      </c>
      <c r="CZ156" s="84">
        <f>10.7/1000</f>
        <v>1.0699999999999999E-2</v>
      </c>
      <c r="DA156" s="195">
        <v>0.01</v>
      </c>
      <c r="DB156" s="547">
        <v>9.4999999999999998E-3</v>
      </c>
      <c r="DC156" s="547">
        <v>9.4999999999999998E-3</v>
      </c>
      <c r="DD156" s="196">
        <v>0.01</v>
      </c>
      <c r="DE156" s="195">
        <v>8.9999999999999993E-3</v>
      </c>
      <c r="DF156" s="84">
        <v>8.9999999999999993E-3</v>
      </c>
      <c r="DG156" s="547">
        <v>8.9999999999999993E-3</v>
      </c>
      <c r="DH156" s="18">
        <v>8.9999999999999993E-3</v>
      </c>
      <c r="DI156" s="84">
        <v>8.9999999999999993E-3</v>
      </c>
      <c r="DJ156" s="721">
        <v>9.7000000000000003E-3</v>
      </c>
      <c r="DK156" s="723">
        <v>1.11E-2</v>
      </c>
    </row>
    <row r="157" spans="1:115" s="48" customFormat="1" ht="15" customHeight="1" x14ac:dyDescent="0.3">
      <c r="A157" s="50" t="s">
        <v>17</v>
      </c>
      <c r="B157" s="44" t="s">
        <v>101</v>
      </c>
      <c r="C157" s="9" t="s">
        <v>70</v>
      </c>
      <c r="D157" s="523" t="s">
        <v>52</v>
      </c>
      <c r="E157" s="101">
        <f t="shared" si="36"/>
        <v>0.9485714285714284</v>
      </c>
      <c r="F157" s="97">
        <f t="shared" si="35"/>
        <v>1.4864400000000048E-2</v>
      </c>
      <c r="G157" s="97">
        <f t="shared" si="37"/>
        <v>0.92400000000000004</v>
      </c>
      <c r="H157" s="377">
        <f t="shared" si="38"/>
        <v>0.96499999999999997</v>
      </c>
      <c r="I157" s="194">
        <v>0.92400000000000004</v>
      </c>
      <c r="J157" s="18">
        <v>0.93600000000000005</v>
      </c>
      <c r="K157" s="14">
        <v>0.93899999999999995</v>
      </c>
      <c r="L157" s="18">
        <v>0.94599999999999995</v>
      </c>
      <c r="M157" s="14">
        <v>0.94799999999999995</v>
      </c>
      <c r="N157" s="14">
        <v>0.95199999999999996</v>
      </c>
      <c r="O157" s="193">
        <v>0.95599999999999996</v>
      </c>
      <c r="P157" s="290">
        <v>0.95299999999999996</v>
      </c>
      <c r="Q157" s="287">
        <v>0.93200000000000005</v>
      </c>
      <c r="R157" s="287">
        <v>0.96</v>
      </c>
      <c r="S157" s="286">
        <v>0.95699999999999996</v>
      </c>
      <c r="T157" s="547">
        <v>0.93600000000000005</v>
      </c>
      <c r="U157" s="14">
        <v>0.94399999999999995</v>
      </c>
      <c r="V157" s="14">
        <v>0.94499999999999995</v>
      </c>
      <c r="W157" s="14">
        <v>0.95099999999999996</v>
      </c>
      <c r="X157" s="18">
        <v>0.95</v>
      </c>
      <c r="Y157" s="14">
        <v>0.94799999999999995</v>
      </c>
      <c r="Z157" s="14">
        <v>0.94599999999999995</v>
      </c>
      <c r="AA157" s="14">
        <v>0.94399999999999995</v>
      </c>
      <c r="AB157" s="14">
        <v>0.94299999999999995</v>
      </c>
      <c r="AC157" s="18">
        <v>0.94</v>
      </c>
      <c r="AD157" s="18">
        <v>0.94</v>
      </c>
      <c r="AE157" s="18">
        <v>0.94</v>
      </c>
      <c r="AF157" s="18">
        <v>0.94</v>
      </c>
      <c r="AG157" s="14">
        <v>0.94099999999999995</v>
      </c>
      <c r="AH157" s="193">
        <v>0.94099999999999995</v>
      </c>
      <c r="AI157" s="194">
        <v>0.96499999999999997</v>
      </c>
      <c r="AJ157" s="14">
        <v>0.96399999999999997</v>
      </c>
      <c r="AK157" s="14">
        <v>0.96299999999999997</v>
      </c>
      <c r="AL157" s="14">
        <v>0.96099999999999997</v>
      </c>
      <c r="AM157" s="14">
        <v>0.96099999999999997</v>
      </c>
      <c r="AN157" s="18">
        <v>0.96</v>
      </c>
      <c r="AO157" s="14">
        <v>0.95799999999999996</v>
      </c>
      <c r="AP157" s="14">
        <v>0.95799999999999996</v>
      </c>
      <c r="AQ157" s="14">
        <v>0.95799999999999996</v>
      </c>
      <c r="AR157" s="14">
        <v>0.95799999999999996</v>
      </c>
      <c r="AS157" s="14">
        <v>0.95799999999999996</v>
      </c>
      <c r="AT157" s="290">
        <v>0.95699999999999996</v>
      </c>
      <c r="AU157" s="546">
        <v>0.96599999999999997</v>
      </c>
      <c r="AV157" s="546">
        <v>0.96499999999999997</v>
      </c>
      <c r="AW157" s="546">
        <v>0.96399999999999997</v>
      </c>
      <c r="AX157" s="546">
        <v>0.96199999999999997</v>
      </c>
      <c r="AY157" s="546">
        <v>0.96099999999999997</v>
      </c>
      <c r="AZ157" s="547">
        <v>0.96</v>
      </c>
      <c r="BA157" s="546">
        <v>0.95799999999999996</v>
      </c>
      <c r="BB157" s="546">
        <v>0.95799999999999996</v>
      </c>
      <c r="BC157" s="546">
        <v>0.95799999999999996</v>
      </c>
      <c r="BD157" s="546">
        <v>0.95799999999999996</v>
      </c>
      <c r="BE157" s="546">
        <v>0.95699999999999996</v>
      </c>
      <c r="BF157" s="558">
        <v>0.95699999999999996</v>
      </c>
      <c r="BG157" s="139">
        <v>0.95</v>
      </c>
      <c r="BH157" s="140">
        <v>0.94799999999999995</v>
      </c>
      <c r="BI157" s="140">
        <v>0.94699999999999995</v>
      </c>
      <c r="BJ157" s="140">
        <v>0.94399999999999995</v>
      </c>
      <c r="BK157" s="140">
        <v>0.94299999999999995</v>
      </c>
      <c r="BL157" s="140">
        <v>0.94099999999999995</v>
      </c>
      <c r="BM157" s="547">
        <v>0.91</v>
      </c>
      <c r="BN157" s="14">
        <v>0.91700000000000004</v>
      </c>
      <c r="BO157" s="193">
        <v>0.92500000000000004</v>
      </c>
      <c r="BP157" s="195">
        <v>0.91</v>
      </c>
      <c r="BQ157" s="14">
        <v>0.91700000000000004</v>
      </c>
      <c r="BR157" s="290">
        <v>0.92500000000000004</v>
      </c>
      <c r="BS157" s="194">
        <v>0.96399999999999997</v>
      </c>
      <c r="BT157" s="14">
        <v>0.96299999999999997</v>
      </c>
      <c r="BU157" s="14">
        <v>0.96199999999999997</v>
      </c>
      <c r="BV157" s="14">
        <v>0.96099999999999997</v>
      </c>
      <c r="BW157" s="18">
        <v>0.96</v>
      </c>
      <c r="BX157" s="14">
        <v>0.95899999999999996</v>
      </c>
      <c r="BY157" s="18">
        <v>0.95799999999999996</v>
      </c>
      <c r="BZ157" s="14">
        <v>0.95799999999999996</v>
      </c>
      <c r="CA157" s="14">
        <v>0.95799999999999996</v>
      </c>
      <c r="CB157" s="14">
        <v>0.95799999999999996</v>
      </c>
      <c r="CC157" s="14">
        <v>0.95699999999999996</v>
      </c>
      <c r="CD157" s="14">
        <v>0.95699999999999996</v>
      </c>
      <c r="CE157" s="290">
        <v>0.95699999999999996</v>
      </c>
      <c r="CF157" s="566">
        <v>0.96499999999999997</v>
      </c>
      <c r="CG157" s="14">
        <v>0.96399999999999997</v>
      </c>
      <c r="CH157" s="14">
        <v>0.96299999999999997</v>
      </c>
      <c r="CI157" s="14">
        <v>0.96099999999999997</v>
      </c>
      <c r="CJ157" s="18">
        <v>0.96</v>
      </c>
      <c r="CK157" s="14">
        <v>0.95899999999999996</v>
      </c>
      <c r="CL157" s="18">
        <v>0.95799999999999996</v>
      </c>
      <c r="CM157" s="14">
        <v>0.95799999999999996</v>
      </c>
      <c r="CN157" s="14">
        <v>0.95799999999999996</v>
      </c>
      <c r="CO157" s="14">
        <v>0.95799999999999996</v>
      </c>
      <c r="CP157" s="14">
        <v>0.95699999999999996</v>
      </c>
      <c r="CQ157" s="14">
        <v>0.95699999999999996</v>
      </c>
      <c r="CR157" s="290">
        <v>0.95699999999999996</v>
      </c>
      <c r="CS157" s="194">
        <v>1.016</v>
      </c>
      <c r="CT157" s="14">
        <v>1.018</v>
      </c>
      <c r="CU157" s="14">
        <v>1.022</v>
      </c>
      <c r="CV157" s="14">
        <v>1.028</v>
      </c>
      <c r="CW157" s="14">
        <v>1.0269999999999999</v>
      </c>
      <c r="CX157" s="14">
        <v>1.026</v>
      </c>
      <c r="CY157" s="14">
        <v>1.0249999999999999</v>
      </c>
      <c r="CZ157" s="290">
        <v>1.0309999999999999</v>
      </c>
      <c r="DA157" s="194">
        <v>0.93</v>
      </c>
      <c r="DB157" s="14">
        <v>0.92</v>
      </c>
      <c r="DC157" s="14">
        <v>0.92</v>
      </c>
      <c r="DD157" s="193">
        <v>0.91400000000000003</v>
      </c>
      <c r="DE157" s="194">
        <v>0.94399999999999995</v>
      </c>
      <c r="DF157" s="290">
        <v>0.94499999999999995</v>
      </c>
      <c r="DG157" s="546">
        <v>1.0429999999999999</v>
      </c>
      <c r="DH157" s="14">
        <v>1.042</v>
      </c>
      <c r="DI157" s="290">
        <v>1.04</v>
      </c>
      <c r="DJ157" s="721">
        <v>0.94499999999999995</v>
      </c>
      <c r="DK157" s="723">
        <v>0.94499999999999995</v>
      </c>
    </row>
    <row r="158" spans="1:115" s="48" customFormat="1" ht="15" customHeight="1" thickBot="1" x14ac:dyDescent="0.35">
      <c r="A158" s="54" t="s">
        <v>18</v>
      </c>
      <c r="B158" s="61" t="s">
        <v>102</v>
      </c>
      <c r="C158" s="10" t="s">
        <v>70</v>
      </c>
      <c r="D158" s="524" t="s">
        <v>52</v>
      </c>
      <c r="E158" s="104">
        <f t="shared" si="36"/>
        <v>0.93997142857142857</v>
      </c>
      <c r="F158" s="105">
        <f t="shared" si="35"/>
        <v>1.5106000000000033E-2</v>
      </c>
      <c r="G158" s="105">
        <f t="shared" si="37"/>
        <v>0.90400000000000003</v>
      </c>
      <c r="H158" s="380">
        <f t="shared" si="38"/>
        <v>0.96099999999999997</v>
      </c>
      <c r="I158" s="234">
        <v>0.91400000000000003</v>
      </c>
      <c r="J158" s="233">
        <v>0.90700000000000003</v>
      </c>
      <c r="K158" s="235">
        <v>0.91600000000000004</v>
      </c>
      <c r="L158" s="233">
        <v>0.93799999999999994</v>
      </c>
      <c r="M158" s="233">
        <v>0.93899999999999995</v>
      </c>
      <c r="N158" s="233">
        <v>0.94099999999999995</v>
      </c>
      <c r="O158" s="244">
        <v>0.94299999999999995</v>
      </c>
      <c r="P158" s="361">
        <v>0.94899999999999995</v>
      </c>
      <c r="Q158" s="280">
        <v>0.92100000000000004</v>
      </c>
      <c r="R158" s="280">
        <v>0.96099999999999997</v>
      </c>
      <c r="S158" s="281">
        <v>0.96099999999999997</v>
      </c>
      <c r="T158" s="548">
        <v>0.90400000000000003</v>
      </c>
      <c r="U158" s="233">
        <v>0.91900000000000004</v>
      </c>
      <c r="V158" s="233">
        <v>0.92300000000000004</v>
      </c>
      <c r="W158" s="233">
        <v>0.93400000000000005</v>
      </c>
      <c r="X158" s="233">
        <v>0.93600000000000005</v>
      </c>
      <c r="Y158" s="233">
        <v>0.93700000000000006</v>
      </c>
      <c r="Z158" s="235">
        <v>0.94</v>
      </c>
      <c r="AA158" s="233">
        <v>0.94199999999999995</v>
      </c>
      <c r="AB158" s="233">
        <v>0.94299999999999995</v>
      </c>
      <c r="AC158" s="233">
        <v>0.94599999999999995</v>
      </c>
      <c r="AD158" s="233">
        <v>0.94399999999999995</v>
      </c>
      <c r="AE158" s="233">
        <v>0.94399999999999995</v>
      </c>
      <c r="AF158" s="233">
        <v>0.94399999999999995</v>
      </c>
      <c r="AG158" s="233">
        <v>0.94299999999999995</v>
      </c>
      <c r="AH158" s="549">
        <v>0.94199999999999995</v>
      </c>
      <c r="AI158" s="552">
        <v>0.94799999999999995</v>
      </c>
      <c r="AJ158" s="235">
        <v>0.94899999999999995</v>
      </c>
      <c r="AK158" s="235">
        <v>0.94899999999999995</v>
      </c>
      <c r="AL158" s="235">
        <v>0.95099999999999996</v>
      </c>
      <c r="AM158" s="235">
        <v>0.95199999999999996</v>
      </c>
      <c r="AN158" s="235">
        <v>0.95199999999999996</v>
      </c>
      <c r="AO158" s="235">
        <v>0.95399999999999996</v>
      </c>
      <c r="AP158" s="235">
        <v>0.95599999999999996</v>
      </c>
      <c r="AQ158" s="235">
        <v>0.95699999999999996</v>
      </c>
      <c r="AR158" s="235">
        <v>0.95699999999999996</v>
      </c>
      <c r="AS158" s="235">
        <v>0.95699999999999996</v>
      </c>
      <c r="AT158" s="553">
        <v>0.95899999999999996</v>
      </c>
      <c r="AU158" s="560">
        <v>0.94799999999999995</v>
      </c>
      <c r="AV158" s="560">
        <v>0.94899999999999995</v>
      </c>
      <c r="AW158" s="560">
        <v>0.94899999999999995</v>
      </c>
      <c r="AX158" s="560">
        <v>0.95099999999999996</v>
      </c>
      <c r="AY158" s="560">
        <v>0.95199999999999996</v>
      </c>
      <c r="AZ158" s="560">
        <v>0.95199999999999996</v>
      </c>
      <c r="BA158" s="560">
        <v>0.95399999999999996</v>
      </c>
      <c r="BB158" s="560">
        <v>0.95699999999999996</v>
      </c>
      <c r="BC158" s="560">
        <v>0.95699999999999996</v>
      </c>
      <c r="BD158" s="560">
        <v>0.95699999999999996</v>
      </c>
      <c r="BE158" s="560">
        <v>0.95799999999999996</v>
      </c>
      <c r="BF158" s="561">
        <v>0.96</v>
      </c>
      <c r="BG158" s="20">
        <v>0.93700000000000006</v>
      </c>
      <c r="BH158" s="11">
        <v>0.93700000000000006</v>
      </c>
      <c r="BI158" s="11">
        <v>0.93899999999999995</v>
      </c>
      <c r="BJ158" s="11">
        <v>0.94199999999999995</v>
      </c>
      <c r="BK158" s="11">
        <v>0.94299999999999995</v>
      </c>
      <c r="BL158" s="11">
        <v>0.94499999999999995</v>
      </c>
      <c r="BM158" s="548">
        <v>0.90700000000000003</v>
      </c>
      <c r="BN158" s="233">
        <v>0.90400000000000003</v>
      </c>
      <c r="BO158" s="244">
        <v>0.90100000000000002</v>
      </c>
      <c r="BP158" s="234">
        <v>0.90700000000000003</v>
      </c>
      <c r="BQ158" s="233">
        <v>0.90400000000000003</v>
      </c>
      <c r="BR158" s="361">
        <v>0.90100000000000002</v>
      </c>
      <c r="BS158" s="234">
        <v>0.94899999999999995</v>
      </c>
      <c r="BT158" s="233">
        <v>0.94899999999999995</v>
      </c>
      <c r="BU158" s="233">
        <v>0.95</v>
      </c>
      <c r="BV158" s="233">
        <v>0.95199999999999996</v>
      </c>
      <c r="BW158" s="233">
        <v>0.95199999999999996</v>
      </c>
      <c r="BX158" s="233">
        <v>0.95299999999999996</v>
      </c>
      <c r="BY158" s="233">
        <v>0.95599999999999996</v>
      </c>
      <c r="BZ158" s="233">
        <v>0.95699999999999996</v>
      </c>
      <c r="CA158" s="233">
        <v>0.95699999999999996</v>
      </c>
      <c r="CB158" s="233">
        <v>0.95699999999999996</v>
      </c>
      <c r="CC158" s="233">
        <v>0.95799999999999996</v>
      </c>
      <c r="CD158" s="233">
        <v>0.95899999999999996</v>
      </c>
      <c r="CE158" s="553">
        <v>0.96199999999999997</v>
      </c>
      <c r="CF158" s="548">
        <v>0.94899999999999995</v>
      </c>
      <c r="CG158" s="233">
        <v>0.94899999999999995</v>
      </c>
      <c r="CH158" s="233">
        <v>0.95</v>
      </c>
      <c r="CI158" s="233">
        <v>0.95199999999999996</v>
      </c>
      <c r="CJ158" s="233">
        <v>0.95199999999999996</v>
      </c>
      <c r="CK158" s="233">
        <v>0.95299999999999996</v>
      </c>
      <c r="CL158" s="233">
        <v>0.95599999999999996</v>
      </c>
      <c r="CM158" s="233">
        <v>0.95699999999999996</v>
      </c>
      <c r="CN158" s="233">
        <v>0.95699999999999996</v>
      </c>
      <c r="CO158" s="233">
        <v>0.95699999999999996</v>
      </c>
      <c r="CP158" s="233">
        <v>0.95799999999999996</v>
      </c>
      <c r="CQ158" s="233">
        <v>0.95899999999999996</v>
      </c>
      <c r="CR158" s="553">
        <v>0.96199999999999997</v>
      </c>
      <c r="CS158" s="234">
        <v>0.96899999999999997</v>
      </c>
      <c r="CT158" s="233">
        <v>0.97199999999999998</v>
      </c>
      <c r="CU158" s="233">
        <v>0.97799999999999998</v>
      </c>
      <c r="CV158" s="233">
        <v>0.98599999999999999</v>
      </c>
      <c r="CW158" s="233">
        <v>0.99199999999999999</v>
      </c>
      <c r="CX158" s="233">
        <v>1.0009999999999999</v>
      </c>
      <c r="CY158" s="235">
        <v>1.01</v>
      </c>
      <c r="CZ158" s="361">
        <v>1.018</v>
      </c>
      <c r="DA158" s="234">
        <v>0.90900000000000003</v>
      </c>
      <c r="DB158" s="233">
        <v>0.91</v>
      </c>
      <c r="DC158" s="233">
        <v>0.91</v>
      </c>
      <c r="DD158" s="244">
        <v>0.91</v>
      </c>
      <c r="DE158" s="234">
        <v>0.93500000000000005</v>
      </c>
      <c r="DF158" s="361">
        <v>0.93799999999999994</v>
      </c>
      <c r="DG158" s="548">
        <v>1.052</v>
      </c>
      <c r="DH158" s="233">
        <v>1.044</v>
      </c>
      <c r="DI158" s="361">
        <v>1.0349999999999999</v>
      </c>
      <c r="DJ158" s="781">
        <v>0.94199999999999995</v>
      </c>
      <c r="DK158" s="734">
        <v>0.94199999999999995</v>
      </c>
    </row>
    <row r="159" spans="1:115" s="37" customFormat="1" ht="25.05" customHeight="1" thickBot="1" x14ac:dyDescent="0.35">
      <c r="A159" s="69"/>
      <c r="B159" s="69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</row>
    <row r="160" spans="1:115" s="38" customFormat="1" ht="15" customHeight="1" thickBot="1" x14ac:dyDescent="0.35">
      <c r="A160" s="115" t="s">
        <v>7</v>
      </c>
      <c r="B160" s="116"/>
      <c r="C160" s="116"/>
      <c r="D160" s="375" t="s">
        <v>281</v>
      </c>
      <c r="E160" s="1013" t="s">
        <v>7</v>
      </c>
      <c r="F160" s="1014"/>
      <c r="G160" s="1014"/>
      <c r="H160" s="1015"/>
      <c r="I160" s="864" t="s">
        <v>7</v>
      </c>
      <c r="J160" s="865"/>
      <c r="K160" s="865"/>
      <c r="L160" s="865"/>
      <c r="M160" s="865"/>
      <c r="N160" s="865"/>
      <c r="O160" s="865"/>
      <c r="P160" s="866"/>
      <c r="Q160" s="1051" t="s">
        <v>7</v>
      </c>
      <c r="R160" s="1052"/>
      <c r="S160" s="1052"/>
      <c r="T160" s="1052"/>
      <c r="U160" s="1052"/>
      <c r="V160" s="1052"/>
      <c r="W160" s="1052"/>
      <c r="X160" s="1052"/>
      <c r="Y160" s="1052"/>
      <c r="Z160" s="1053"/>
      <c r="AA160" s="864" t="s">
        <v>7</v>
      </c>
      <c r="AB160" s="865"/>
      <c r="AC160" s="865"/>
      <c r="AD160" s="865"/>
      <c r="AE160" s="866"/>
      <c r="AF160" s="864" t="s">
        <v>7</v>
      </c>
      <c r="AG160" s="865"/>
      <c r="AH160" s="865"/>
      <c r="AI160" s="865"/>
      <c r="AJ160" s="866"/>
      <c r="AK160" s="864" t="s">
        <v>7</v>
      </c>
      <c r="AL160" s="866"/>
      <c r="AM160" s="864" t="s">
        <v>7</v>
      </c>
      <c r="AN160" s="865"/>
      <c r="AO160" s="865"/>
      <c r="AP160" s="866"/>
      <c r="AQ160" s="864" t="s">
        <v>7</v>
      </c>
      <c r="AR160" s="865"/>
      <c r="AS160" s="865"/>
      <c r="AT160" s="865"/>
      <c r="AU160" s="866"/>
      <c r="AV160" s="864" t="s">
        <v>7</v>
      </c>
      <c r="AW160" s="865"/>
      <c r="AX160" s="865"/>
      <c r="AY160" s="865"/>
      <c r="AZ160" s="866"/>
      <c r="BA160" s="864" t="s">
        <v>7</v>
      </c>
      <c r="BB160" s="865"/>
      <c r="BC160" s="865"/>
      <c r="BD160" s="865"/>
      <c r="BE160" s="866"/>
      <c r="BF160" s="864" t="s">
        <v>7</v>
      </c>
      <c r="BG160" s="865"/>
      <c r="BH160" s="865"/>
      <c r="BI160" s="865"/>
      <c r="BJ160" s="866"/>
    </row>
    <row r="161" spans="1:62" ht="40.049999999999997" customHeight="1" thickBot="1" x14ac:dyDescent="0.35">
      <c r="A161" s="1025">
        <f>COUNTA(I161:BD161)</f>
        <v>48</v>
      </c>
      <c r="B161" s="1025"/>
      <c r="C161" s="1026"/>
      <c r="D161" s="262" t="s">
        <v>0</v>
      </c>
      <c r="E161" s="110" t="s">
        <v>31</v>
      </c>
      <c r="F161" s="573" t="s">
        <v>512</v>
      </c>
      <c r="G161" s="111" t="s">
        <v>57</v>
      </c>
      <c r="H161" s="112" t="s">
        <v>58</v>
      </c>
      <c r="I161" s="251" t="s">
        <v>425</v>
      </c>
      <c r="J161" s="251" t="s">
        <v>426</v>
      </c>
      <c r="K161" s="251" t="s">
        <v>427</v>
      </c>
      <c r="L161" s="251" t="s">
        <v>428</v>
      </c>
      <c r="M161" s="251" t="s">
        <v>429</v>
      </c>
      <c r="N161" s="251" t="s">
        <v>34</v>
      </c>
      <c r="O161" s="251" t="s">
        <v>35</v>
      </c>
      <c r="P161" s="256" t="s">
        <v>36</v>
      </c>
      <c r="Q161" s="511" t="s">
        <v>421</v>
      </c>
      <c r="R161" s="510" t="s">
        <v>422</v>
      </c>
      <c r="S161" s="510" t="s">
        <v>430</v>
      </c>
      <c r="T161" s="510" t="s">
        <v>423</v>
      </c>
      <c r="U161" s="510" t="s">
        <v>678</v>
      </c>
      <c r="V161" s="510" t="s">
        <v>930</v>
      </c>
      <c r="W161" s="510" t="s">
        <v>931</v>
      </c>
      <c r="X161" s="510" t="s">
        <v>932</v>
      </c>
      <c r="Y161" s="510" t="s">
        <v>933</v>
      </c>
      <c r="Z161" s="509" t="s">
        <v>934</v>
      </c>
      <c r="AA161" s="136" t="s">
        <v>161</v>
      </c>
      <c r="AB161" s="508" t="s">
        <v>162</v>
      </c>
      <c r="AC161" s="252" t="s">
        <v>163</v>
      </c>
      <c r="AD161" s="252" t="s">
        <v>164</v>
      </c>
      <c r="AE161" s="253" t="s">
        <v>165</v>
      </c>
      <c r="AF161" s="136" t="s">
        <v>166</v>
      </c>
      <c r="AG161" s="508" t="s">
        <v>167</v>
      </c>
      <c r="AH161" s="252" t="s">
        <v>168</v>
      </c>
      <c r="AI161" s="252" t="s">
        <v>169</v>
      </c>
      <c r="AJ161" s="253" t="s">
        <v>170</v>
      </c>
      <c r="AK161" s="251" t="s">
        <v>431</v>
      </c>
      <c r="AL161" s="256" t="s">
        <v>432</v>
      </c>
      <c r="AM161" s="504" t="s">
        <v>171</v>
      </c>
      <c r="AN161" s="39" t="s">
        <v>424</v>
      </c>
      <c r="AO161" s="39" t="s">
        <v>172</v>
      </c>
      <c r="AP161" s="148" t="s">
        <v>173</v>
      </c>
      <c r="AQ161" s="504" t="s">
        <v>679</v>
      </c>
      <c r="AR161" s="39" t="s">
        <v>680</v>
      </c>
      <c r="AS161" s="39" t="s">
        <v>681</v>
      </c>
      <c r="AT161" s="39" t="s">
        <v>935</v>
      </c>
      <c r="AU161" s="148" t="s">
        <v>682</v>
      </c>
      <c r="AV161" s="504" t="s">
        <v>936</v>
      </c>
      <c r="AW161" s="39" t="s">
        <v>937</v>
      </c>
      <c r="AX161" s="39" t="s">
        <v>938</v>
      </c>
      <c r="AY161" s="39" t="s">
        <v>939</v>
      </c>
      <c r="AZ161" s="148" t="s">
        <v>940</v>
      </c>
      <c r="BA161" s="504" t="s">
        <v>941</v>
      </c>
      <c r="BB161" s="39" t="s">
        <v>942</v>
      </c>
      <c r="BC161" s="39" t="s">
        <v>943</v>
      </c>
      <c r="BD161" s="39" t="s">
        <v>944</v>
      </c>
      <c r="BE161" s="148" t="s">
        <v>945</v>
      </c>
      <c r="BF161" s="504" t="s">
        <v>946</v>
      </c>
      <c r="BG161" s="39" t="s">
        <v>947</v>
      </c>
      <c r="BH161" s="39" t="s">
        <v>948</v>
      </c>
      <c r="BI161" s="39" t="s">
        <v>949</v>
      </c>
      <c r="BJ161" s="148" t="s">
        <v>950</v>
      </c>
    </row>
    <row r="162" spans="1:62" ht="15.75" customHeight="1" thickBot="1" x14ac:dyDescent="0.35">
      <c r="A162" s="1027"/>
      <c r="B162" s="1027"/>
      <c r="C162" s="1028"/>
      <c r="D162" s="36" t="s">
        <v>33</v>
      </c>
      <c r="E162" s="971" t="s">
        <v>513</v>
      </c>
      <c r="F162" s="972"/>
      <c r="G162" s="972"/>
      <c r="H162" s="973"/>
      <c r="I162" s="947" t="s">
        <v>29</v>
      </c>
      <c r="J162" s="948"/>
      <c r="K162" s="948"/>
      <c r="L162" s="948"/>
      <c r="M162" s="948"/>
      <c r="N162" s="948"/>
      <c r="O162" s="948"/>
      <c r="P162" s="1045"/>
      <c r="Q162" s="832" t="s">
        <v>29</v>
      </c>
      <c r="R162" s="839"/>
      <c r="S162" s="839"/>
      <c r="T162" s="839"/>
      <c r="U162" s="839"/>
      <c r="V162" s="839"/>
      <c r="W162" s="839"/>
      <c r="X162" s="839"/>
      <c r="Y162" s="839"/>
      <c r="Z162" s="843"/>
      <c r="AA162" s="858" t="s">
        <v>179</v>
      </c>
      <c r="AB162" s="859"/>
      <c r="AC162" s="859"/>
      <c r="AD162" s="859"/>
      <c r="AE162" s="860"/>
      <c r="AF162" s="858" t="s">
        <v>179</v>
      </c>
      <c r="AG162" s="859"/>
      <c r="AH162" s="859"/>
      <c r="AI162" s="859"/>
      <c r="AJ162" s="860"/>
      <c r="AK162" s="858" t="s">
        <v>179</v>
      </c>
      <c r="AL162" s="860"/>
      <c r="AM162" s="858" t="s">
        <v>179</v>
      </c>
      <c r="AN162" s="859"/>
      <c r="AO162" s="859"/>
      <c r="AP162" s="860"/>
      <c r="AQ162" s="858" t="s">
        <v>179</v>
      </c>
      <c r="AR162" s="859"/>
      <c r="AS162" s="859"/>
      <c r="AT162" s="859"/>
      <c r="AU162" s="860"/>
      <c r="AV162" s="858" t="s">
        <v>29</v>
      </c>
      <c r="AW162" s="859"/>
      <c r="AX162" s="859"/>
      <c r="AY162" s="859"/>
      <c r="AZ162" s="860"/>
      <c r="BA162" s="858" t="s">
        <v>179</v>
      </c>
      <c r="BB162" s="859"/>
      <c r="BC162" s="859"/>
      <c r="BD162" s="859"/>
      <c r="BE162" s="860"/>
      <c r="BF162" s="858" t="s">
        <v>179</v>
      </c>
      <c r="BG162" s="859"/>
      <c r="BH162" s="859"/>
      <c r="BI162" s="859"/>
      <c r="BJ162" s="860"/>
    </row>
    <row r="163" spans="1:62" ht="15" thickBot="1" x14ac:dyDescent="0.35">
      <c r="A163" s="57" t="s">
        <v>54</v>
      </c>
      <c r="B163" s="58" t="s">
        <v>55</v>
      </c>
      <c r="C163" s="62" t="s">
        <v>1</v>
      </c>
      <c r="D163" s="56" t="s">
        <v>32</v>
      </c>
      <c r="E163" s="971"/>
      <c r="F163" s="972"/>
      <c r="G163" s="972"/>
      <c r="H163" s="973"/>
      <c r="I163" s="949"/>
      <c r="J163" s="950"/>
      <c r="K163" s="950"/>
      <c r="L163" s="950"/>
      <c r="M163" s="950"/>
      <c r="N163" s="950"/>
      <c r="O163" s="950"/>
      <c r="P163" s="1046"/>
      <c r="Q163" s="962"/>
      <c r="R163" s="963"/>
      <c r="S163" s="963"/>
      <c r="T163" s="963"/>
      <c r="U163" s="963"/>
      <c r="V163" s="963"/>
      <c r="W163" s="963"/>
      <c r="X163" s="963"/>
      <c r="Y163" s="963"/>
      <c r="Z163" s="964"/>
      <c r="AA163" s="861"/>
      <c r="AB163" s="862"/>
      <c r="AC163" s="862"/>
      <c r="AD163" s="862"/>
      <c r="AE163" s="863"/>
      <c r="AF163" s="861"/>
      <c r="AG163" s="862"/>
      <c r="AH163" s="862"/>
      <c r="AI163" s="862"/>
      <c r="AJ163" s="863"/>
      <c r="AK163" s="861"/>
      <c r="AL163" s="863"/>
      <c r="AM163" s="861"/>
      <c r="AN163" s="862"/>
      <c r="AO163" s="862"/>
      <c r="AP163" s="863"/>
      <c r="AQ163" s="861"/>
      <c r="AR163" s="862"/>
      <c r="AS163" s="862"/>
      <c r="AT163" s="862"/>
      <c r="AU163" s="863"/>
      <c r="AV163" s="861"/>
      <c r="AW163" s="862"/>
      <c r="AX163" s="862"/>
      <c r="AY163" s="862"/>
      <c r="AZ163" s="863"/>
      <c r="BA163" s="861"/>
      <c r="BB163" s="862"/>
      <c r="BC163" s="862"/>
      <c r="BD163" s="862"/>
      <c r="BE163" s="863"/>
      <c r="BF163" s="861"/>
      <c r="BG163" s="862"/>
      <c r="BH163" s="862"/>
      <c r="BI163" s="862"/>
      <c r="BJ163" s="863"/>
    </row>
    <row r="164" spans="1:62" s="48" customFormat="1" ht="15" customHeight="1" x14ac:dyDescent="0.3">
      <c r="A164" s="46" t="s">
        <v>5</v>
      </c>
      <c r="B164" s="60" t="s">
        <v>21</v>
      </c>
      <c r="C164" s="8" t="s">
        <v>69</v>
      </c>
      <c r="D164" s="522" t="s">
        <v>52</v>
      </c>
      <c r="E164" s="99">
        <f t="shared" ref="E164:E173" si="44">AVERAGE(I164:BD164)</f>
        <v>22.839583333333334</v>
      </c>
      <c r="F164" s="100">
        <f t="shared" ref="F164:F173" si="45">AVEDEV(I164:BD164)</f>
        <v>10.196961805555556</v>
      </c>
      <c r="G164" s="100">
        <f t="shared" ref="G164:G173" si="46">MIN(I164:BD164)</f>
        <v>10</v>
      </c>
      <c r="H164" s="376">
        <f t="shared" ref="H164:H173" si="47">MAX(I164:BD164)</f>
        <v>64</v>
      </c>
      <c r="I164" s="31">
        <v>12</v>
      </c>
      <c r="J164" s="32">
        <v>15</v>
      </c>
      <c r="K164" s="32">
        <v>20</v>
      </c>
      <c r="L164" s="32">
        <v>25</v>
      </c>
      <c r="M164" s="32">
        <v>32</v>
      </c>
      <c r="N164" s="32">
        <v>36</v>
      </c>
      <c r="O164" s="32">
        <v>48</v>
      </c>
      <c r="P164" s="33">
        <v>56</v>
      </c>
      <c r="Q164" s="128">
        <v>10</v>
      </c>
      <c r="R164" s="133">
        <v>12</v>
      </c>
      <c r="S164" s="133">
        <v>14</v>
      </c>
      <c r="T164" s="133">
        <v>16</v>
      </c>
      <c r="U164" s="133">
        <v>18</v>
      </c>
      <c r="V164" s="133">
        <v>20</v>
      </c>
      <c r="W164" s="133">
        <v>22</v>
      </c>
      <c r="X164" s="133">
        <v>25</v>
      </c>
      <c r="Y164" s="133">
        <v>28</v>
      </c>
      <c r="Z164" s="131">
        <v>32</v>
      </c>
      <c r="AA164" s="34">
        <v>10.3</v>
      </c>
      <c r="AB164" s="35">
        <v>12</v>
      </c>
      <c r="AC164" s="35">
        <v>14</v>
      </c>
      <c r="AD164" s="35">
        <v>16</v>
      </c>
      <c r="AE164" s="43">
        <v>18</v>
      </c>
      <c r="AF164" s="34">
        <v>10</v>
      </c>
      <c r="AG164" s="35">
        <v>12</v>
      </c>
      <c r="AH164" s="35">
        <v>14</v>
      </c>
      <c r="AI164" s="35">
        <v>16</v>
      </c>
      <c r="AJ164" s="43">
        <v>18</v>
      </c>
      <c r="AK164" s="32">
        <v>25</v>
      </c>
      <c r="AL164" s="33">
        <v>32</v>
      </c>
      <c r="AM164" s="505">
        <v>41</v>
      </c>
      <c r="AN164" s="32">
        <v>49</v>
      </c>
      <c r="AO164" s="506">
        <v>55</v>
      </c>
      <c r="AP164" s="507">
        <v>64</v>
      </c>
      <c r="AQ164" s="505">
        <v>22</v>
      </c>
      <c r="AR164" s="32">
        <v>25</v>
      </c>
      <c r="AS164" s="506">
        <v>28</v>
      </c>
      <c r="AT164" s="506">
        <v>20</v>
      </c>
      <c r="AU164" s="507">
        <v>32</v>
      </c>
      <c r="AV164" s="505">
        <v>10</v>
      </c>
      <c r="AW164" s="32">
        <v>12</v>
      </c>
      <c r="AX164" s="506">
        <v>14</v>
      </c>
      <c r="AY164" s="506">
        <v>16</v>
      </c>
      <c r="AZ164" s="507">
        <v>18</v>
      </c>
      <c r="BA164" s="505">
        <v>10</v>
      </c>
      <c r="BB164" s="32">
        <v>12</v>
      </c>
      <c r="BC164" s="506">
        <v>14</v>
      </c>
      <c r="BD164" s="506">
        <v>16</v>
      </c>
      <c r="BE164" s="507">
        <v>18</v>
      </c>
      <c r="BF164" s="505">
        <v>10</v>
      </c>
      <c r="BG164" s="32">
        <v>12</v>
      </c>
      <c r="BH164" s="506">
        <v>14</v>
      </c>
      <c r="BI164" s="506">
        <v>16</v>
      </c>
      <c r="BJ164" s="507">
        <v>18</v>
      </c>
    </row>
    <row r="165" spans="1:62" s="48" customFormat="1" ht="15" customHeight="1" x14ac:dyDescent="0.3">
      <c r="A165" s="50" t="s">
        <v>6</v>
      </c>
      <c r="B165" s="44" t="s">
        <v>22</v>
      </c>
      <c r="C165" s="9" t="s">
        <v>70</v>
      </c>
      <c r="D165" s="523" t="s">
        <v>52</v>
      </c>
      <c r="E165" s="101">
        <f t="shared" si="44"/>
        <v>7.3125000000000039E-3</v>
      </c>
      <c r="F165" s="97">
        <f t="shared" si="45"/>
        <v>2.7239583333333347E-3</v>
      </c>
      <c r="G165" s="97">
        <f t="shared" si="46"/>
        <v>3.0000000000000001E-3</v>
      </c>
      <c r="H165" s="377">
        <f t="shared" si="47"/>
        <v>1.6E-2</v>
      </c>
      <c r="I165" s="139">
        <v>1.6E-2</v>
      </c>
      <c r="J165" s="140">
        <v>0.01</v>
      </c>
      <c r="K165" s="140">
        <v>8.0000000000000002E-3</v>
      </c>
      <c r="L165" s="140">
        <v>7.0000000000000001E-3</v>
      </c>
      <c r="M165" s="140">
        <v>7.0000000000000001E-3</v>
      </c>
      <c r="N165" s="140">
        <v>6.0000000000000001E-3</v>
      </c>
      <c r="O165" s="140">
        <v>5.0000000000000001E-3</v>
      </c>
      <c r="P165" s="150">
        <v>5.0000000000000001E-3</v>
      </c>
      <c r="Q165" s="139">
        <v>4.0000000000000001E-3</v>
      </c>
      <c r="R165" s="140">
        <v>4.0000000000000001E-3</v>
      </c>
      <c r="S165" s="140">
        <v>3.0000000000000001E-3</v>
      </c>
      <c r="T165" s="140">
        <v>3.0000000000000001E-3</v>
      </c>
      <c r="U165" s="140">
        <v>3.0000000000000001E-3</v>
      </c>
      <c r="V165" s="140">
        <v>1.0999999999999999E-2</v>
      </c>
      <c r="W165" s="140">
        <v>1.0999999999999999E-2</v>
      </c>
      <c r="X165" s="140">
        <v>1.0999999999999999E-2</v>
      </c>
      <c r="Y165" s="140">
        <v>0.01</v>
      </c>
      <c r="Z165" s="224">
        <v>0.01</v>
      </c>
      <c r="AA165" s="139">
        <v>7.0000000000000001E-3</v>
      </c>
      <c r="AB165" s="140">
        <v>7.0000000000000001E-3</v>
      </c>
      <c r="AC165" s="140">
        <v>7.0000000000000001E-3</v>
      </c>
      <c r="AD165" s="140">
        <v>7.0000000000000001E-3</v>
      </c>
      <c r="AE165" s="224">
        <v>7.0000000000000001E-3</v>
      </c>
      <c r="AF165" s="139">
        <v>4.0000000000000001E-3</v>
      </c>
      <c r="AG165" s="140">
        <v>4.0000000000000001E-3</v>
      </c>
      <c r="AH165" s="140">
        <v>3.0000000000000001E-3</v>
      </c>
      <c r="AI165" s="140">
        <v>3.0000000000000001E-3</v>
      </c>
      <c r="AJ165" s="224">
        <v>3.0000000000000001E-3</v>
      </c>
      <c r="AK165" s="140">
        <v>8.9999999999999993E-3</v>
      </c>
      <c r="AL165" s="150">
        <v>7.0000000000000001E-3</v>
      </c>
      <c r="AM165" s="139">
        <v>7.0000000000000001E-3</v>
      </c>
      <c r="AN165" s="140">
        <v>7.0000000000000001E-3</v>
      </c>
      <c r="AO165" s="150">
        <v>7.0000000000000001E-3</v>
      </c>
      <c r="AP165" s="224">
        <v>7.0000000000000001E-3</v>
      </c>
      <c r="AQ165" s="139">
        <v>0.01</v>
      </c>
      <c r="AR165" s="140">
        <v>8.9999999999999993E-3</v>
      </c>
      <c r="AS165" s="150">
        <v>8.0000000000000002E-3</v>
      </c>
      <c r="AT165" s="150">
        <v>1.0999999999999999E-2</v>
      </c>
      <c r="AU165" s="224">
        <v>6.0000000000000001E-3</v>
      </c>
      <c r="AV165" s="139">
        <v>1.4999999999999999E-2</v>
      </c>
      <c r="AW165" s="140">
        <v>1.4E-2</v>
      </c>
      <c r="AX165" s="150">
        <v>1.2999999999999999E-2</v>
      </c>
      <c r="AY165" s="150">
        <v>1.0999999999999999E-2</v>
      </c>
      <c r="AZ165" s="224">
        <v>0.01</v>
      </c>
      <c r="BA165" s="139">
        <v>4.0000000000000001E-3</v>
      </c>
      <c r="BB165" s="140">
        <v>4.0000000000000001E-3</v>
      </c>
      <c r="BC165" s="150">
        <v>3.0000000000000001E-3</v>
      </c>
      <c r="BD165" s="150">
        <v>3.0000000000000001E-3</v>
      </c>
      <c r="BE165" s="224">
        <v>3.0000000000000001E-3</v>
      </c>
      <c r="BF165" s="139">
        <v>1.6E-2</v>
      </c>
      <c r="BG165" s="140">
        <v>1.4E-2</v>
      </c>
      <c r="BH165" s="150">
        <v>1.2999999999999999E-2</v>
      </c>
      <c r="BI165" s="150">
        <v>1.0999999999999999E-2</v>
      </c>
      <c r="BJ165" s="224">
        <v>1.0999999999999999E-2</v>
      </c>
    </row>
    <row r="166" spans="1:62" s="48" customFormat="1" ht="15" customHeight="1" x14ac:dyDescent="0.3">
      <c r="A166" s="50" t="s">
        <v>64</v>
      </c>
      <c r="B166" s="59" t="s">
        <v>103</v>
      </c>
      <c r="C166" s="9" t="s">
        <v>70</v>
      </c>
      <c r="D166" s="523" t="s">
        <v>61</v>
      </c>
      <c r="E166" s="102">
        <f t="shared" si="44"/>
        <v>0.30125000000000024</v>
      </c>
      <c r="F166" s="98">
        <f t="shared" si="45"/>
        <v>3.0208333333335224E-3</v>
      </c>
      <c r="G166" s="98">
        <f t="shared" si="46"/>
        <v>0.28000000000000003</v>
      </c>
      <c r="H166" s="378">
        <f t="shared" si="47"/>
        <v>0.32</v>
      </c>
      <c r="I166" s="249">
        <v>0.28000000000000003</v>
      </c>
      <c r="J166" s="222">
        <v>0.3</v>
      </c>
      <c r="K166" s="222">
        <v>0.3</v>
      </c>
      <c r="L166" s="222">
        <v>0.32</v>
      </c>
      <c r="M166" s="222">
        <v>0.31</v>
      </c>
      <c r="N166" s="222">
        <v>0.31</v>
      </c>
      <c r="O166" s="222">
        <v>0.31</v>
      </c>
      <c r="P166" s="255">
        <v>0.3</v>
      </c>
      <c r="Q166" s="249">
        <v>0.3</v>
      </c>
      <c r="R166" s="222">
        <v>0.3</v>
      </c>
      <c r="S166" s="222">
        <v>0.3</v>
      </c>
      <c r="T166" s="222">
        <v>0.3</v>
      </c>
      <c r="U166" s="222">
        <v>0.3</v>
      </c>
      <c r="V166" s="222">
        <v>0.3</v>
      </c>
      <c r="W166" s="222">
        <v>0.3</v>
      </c>
      <c r="X166" s="222">
        <v>0.3</v>
      </c>
      <c r="Y166" s="222">
        <v>0.3</v>
      </c>
      <c r="Z166" s="223">
        <v>0.3</v>
      </c>
      <c r="AA166" s="241">
        <v>0.3</v>
      </c>
      <c r="AB166" s="79">
        <v>0.3</v>
      </c>
      <c r="AC166" s="79">
        <v>0.3</v>
      </c>
      <c r="AD166" s="79">
        <v>0.3</v>
      </c>
      <c r="AE166" s="81">
        <v>0.3</v>
      </c>
      <c r="AF166" s="241">
        <v>0.3</v>
      </c>
      <c r="AG166" s="79">
        <v>0.3</v>
      </c>
      <c r="AH166" s="79">
        <v>0.3</v>
      </c>
      <c r="AI166" s="79">
        <v>0.3</v>
      </c>
      <c r="AJ166" s="81">
        <v>0.3</v>
      </c>
      <c r="AK166" s="222">
        <v>0.32</v>
      </c>
      <c r="AL166" s="255">
        <v>0.31</v>
      </c>
      <c r="AM166" s="249">
        <v>0.3</v>
      </c>
      <c r="AN166" s="222">
        <v>0.3</v>
      </c>
      <c r="AO166" s="255">
        <v>0.3</v>
      </c>
      <c r="AP166" s="223">
        <v>0.3</v>
      </c>
      <c r="AQ166" s="249">
        <v>0.3</v>
      </c>
      <c r="AR166" s="222">
        <v>0.3</v>
      </c>
      <c r="AS166" s="255">
        <v>0.3</v>
      </c>
      <c r="AT166" s="255">
        <v>0.3</v>
      </c>
      <c r="AU166" s="223">
        <v>0.3</v>
      </c>
      <c r="AV166" s="249">
        <v>0.3</v>
      </c>
      <c r="AW166" s="222">
        <v>0.3</v>
      </c>
      <c r="AX166" s="255">
        <v>0.3</v>
      </c>
      <c r="AY166" s="255">
        <v>0.3</v>
      </c>
      <c r="AZ166" s="223">
        <v>0.3</v>
      </c>
      <c r="BA166" s="249">
        <v>0.3</v>
      </c>
      <c r="BB166" s="222">
        <v>0.3</v>
      </c>
      <c r="BC166" s="255">
        <v>0.3</v>
      </c>
      <c r="BD166" s="255">
        <v>0.3</v>
      </c>
      <c r="BE166" s="223">
        <v>0.3</v>
      </c>
      <c r="BF166" s="249">
        <v>0.3</v>
      </c>
      <c r="BG166" s="222">
        <v>0.3</v>
      </c>
      <c r="BH166" s="255">
        <v>0.3</v>
      </c>
      <c r="BI166" s="255">
        <v>0.3</v>
      </c>
      <c r="BJ166" s="223">
        <v>0.3</v>
      </c>
    </row>
    <row r="167" spans="1:62" s="48" customFormat="1" ht="15" customHeight="1" x14ac:dyDescent="0.3">
      <c r="A167" s="50" t="s">
        <v>3</v>
      </c>
      <c r="B167" s="44" t="s">
        <v>106</v>
      </c>
      <c r="C167" s="9" t="s">
        <v>71</v>
      </c>
      <c r="D167" s="523" t="s">
        <v>52</v>
      </c>
      <c r="E167" s="103">
        <f t="shared" si="44"/>
        <v>59.583333333333336</v>
      </c>
      <c r="F167" s="96">
        <f t="shared" si="45"/>
        <v>9.982638888888884</v>
      </c>
      <c r="G167" s="96">
        <f t="shared" si="46"/>
        <v>50</v>
      </c>
      <c r="H167" s="379">
        <f t="shared" si="47"/>
        <v>70</v>
      </c>
      <c r="I167" s="142">
        <v>70</v>
      </c>
      <c r="J167" s="137">
        <v>70</v>
      </c>
      <c r="K167" s="137">
        <v>70</v>
      </c>
      <c r="L167" s="137">
        <v>70</v>
      </c>
      <c r="M167" s="137">
        <v>70</v>
      </c>
      <c r="N167" s="137">
        <v>70</v>
      </c>
      <c r="O167" s="137">
        <v>70</v>
      </c>
      <c r="P167" s="151">
        <v>70</v>
      </c>
      <c r="Q167" s="142">
        <v>70</v>
      </c>
      <c r="R167" s="137">
        <v>70</v>
      </c>
      <c r="S167" s="137">
        <v>70</v>
      </c>
      <c r="T167" s="137">
        <v>70</v>
      </c>
      <c r="U167" s="137">
        <v>70</v>
      </c>
      <c r="V167" s="137">
        <v>70</v>
      </c>
      <c r="W167" s="137">
        <v>70</v>
      </c>
      <c r="X167" s="137">
        <v>70</v>
      </c>
      <c r="Y167" s="137">
        <v>70</v>
      </c>
      <c r="Z167" s="221">
        <v>70</v>
      </c>
      <c r="AA167" s="27">
        <v>50</v>
      </c>
      <c r="AB167" s="137">
        <v>50</v>
      </c>
      <c r="AC167" s="137">
        <v>50</v>
      </c>
      <c r="AD167" s="137">
        <v>50</v>
      </c>
      <c r="AE167" s="221">
        <v>50</v>
      </c>
      <c r="AF167" s="27">
        <v>50</v>
      </c>
      <c r="AG167" s="137">
        <v>50</v>
      </c>
      <c r="AH167" s="137">
        <v>50</v>
      </c>
      <c r="AI167" s="137">
        <v>50</v>
      </c>
      <c r="AJ167" s="221">
        <v>50</v>
      </c>
      <c r="AK167" s="137">
        <v>50</v>
      </c>
      <c r="AL167" s="151">
        <v>50</v>
      </c>
      <c r="AM167" s="142">
        <v>50</v>
      </c>
      <c r="AN167" s="137">
        <v>50</v>
      </c>
      <c r="AO167" s="151">
        <v>50</v>
      </c>
      <c r="AP167" s="221">
        <v>50</v>
      </c>
      <c r="AQ167" s="142">
        <v>50</v>
      </c>
      <c r="AR167" s="137">
        <v>50</v>
      </c>
      <c r="AS167" s="151">
        <v>50</v>
      </c>
      <c r="AT167" s="151">
        <v>50</v>
      </c>
      <c r="AU167" s="221">
        <v>50</v>
      </c>
      <c r="AV167" s="142">
        <v>70</v>
      </c>
      <c r="AW167" s="137">
        <v>70</v>
      </c>
      <c r="AX167" s="151">
        <v>70</v>
      </c>
      <c r="AY167" s="151">
        <v>70</v>
      </c>
      <c r="AZ167" s="221">
        <v>70</v>
      </c>
      <c r="BA167" s="142">
        <v>50</v>
      </c>
      <c r="BB167" s="137">
        <v>50</v>
      </c>
      <c r="BC167" s="151">
        <v>50</v>
      </c>
      <c r="BD167" s="151">
        <v>50</v>
      </c>
      <c r="BE167" s="221">
        <v>50</v>
      </c>
      <c r="BF167" s="142">
        <v>50</v>
      </c>
      <c r="BG167" s="137">
        <v>50</v>
      </c>
      <c r="BH167" s="151">
        <v>50</v>
      </c>
      <c r="BI167" s="151">
        <v>50</v>
      </c>
      <c r="BJ167" s="221">
        <v>50</v>
      </c>
    </row>
    <row r="168" spans="1:62" s="48" customFormat="1" ht="15" customHeight="1" x14ac:dyDescent="0.3">
      <c r="A168" s="50" t="s">
        <v>4</v>
      </c>
      <c r="B168" s="44" t="s">
        <v>105</v>
      </c>
      <c r="C168" s="9" t="s">
        <v>71</v>
      </c>
      <c r="D168" s="523" t="s">
        <v>52</v>
      </c>
      <c r="E168" s="103">
        <f t="shared" si="44"/>
        <v>59.583333333333336</v>
      </c>
      <c r="F168" s="96">
        <f t="shared" si="45"/>
        <v>9.982638888888884</v>
      </c>
      <c r="G168" s="96">
        <f t="shared" si="46"/>
        <v>50</v>
      </c>
      <c r="H168" s="379">
        <f t="shared" si="47"/>
        <v>70</v>
      </c>
      <c r="I168" s="142">
        <v>70</v>
      </c>
      <c r="J168" s="137">
        <v>70</v>
      </c>
      <c r="K168" s="137">
        <v>70</v>
      </c>
      <c r="L168" s="137">
        <v>70</v>
      </c>
      <c r="M168" s="137">
        <v>70</v>
      </c>
      <c r="N168" s="137">
        <v>70</v>
      </c>
      <c r="O168" s="137">
        <v>70</v>
      </c>
      <c r="P168" s="151">
        <v>70</v>
      </c>
      <c r="Q168" s="142">
        <v>70</v>
      </c>
      <c r="R168" s="137">
        <v>70</v>
      </c>
      <c r="S168" s="137">
        <v>70</v>
      </c>
      <c r="T168" s="137">
        <v>70</v>
      </c>
      <c r="U168" s="137">
        <v>70</v>
      </c>
      <c r="V168" s="137">
        <v>70</v>
      </c>
      <c r="W168" s="137">
        <v>70</v>
      </c>
      <c r="X168" s="137">
        <v>70</v>
      </c>
      <c r="Y168" s="137">
        <v>70</v>
      </c>
      <c r="Z168" s="221">
        <v>70</v>
      </c>
      <c r="AA168" s="27">
        <v>50</v>
      </c>
      <c r="AB168" s="137">
        <v>50</v>
      </c>
      <c r="AC168" s="137">
        <v>50</v>
      </c>
      <c r="AD168" s="137">
        <v>50</v>
      </c>
      <c r="AE168" s="221">
        <v>50</v>
      </c>
      <c r="AF168" s="27">
        <v>50</v>
      </c>
      <c r="AG168" s="137">
        <v>50</v>
      </c>
      <c r="AH168" s="137">
        <v>50</v>
      </c>
      <c r="AI168" s="137">
        <v>50</v>
      </c>
      <c r="AJ168" s="221">
        <v>50</v>
      </c>
      <c r="AK168" s="137">
        <v>50</v>
      </c>
      <c r="AL168" s="151">
        <v>50</v>
      </c>
      <c r="AM168" s="142">
        <v>50</v>
      </c>
      <c r="AN168" s="137">
        <v>50</v>
      </c>
      <c r="AO168" s="151">
        <v>50</v>
      </c>
      <c r="AP168" s="221">
        <v>50</v>
      </c>
      <c r="AQ168" s="142">
        <v>50</v>
      </c>
      <c r="AR168" s="137">
        <v>50</v>
      </c>
      <c r="AS168" s="151">
        <v>50</v>
      </c>
      <c r="AT168" s="151">
        <v>50</v>
      </c>
      <c r="AU168" s="221">
        <v>50</v>
      </c>
      <c r="AV168" s="142">
        <v>70</v>
      </c>
      <c r="AW168" s="137">
        <v>70</v>
      </c>
      <c r="AX168" s="151">
        <v>70</v>
      </c>
      <c r="AY168" s="151">
        <v>70</v>
      </c>
      <c r="AZ168" s="221">
        <v>70</v>
      </c>
      <c r="BA168" s="142">
        <v>50</v>
      </c>
      <c r="BB168" s="137">
        <v>50</v>
      </c>
      <c r="BC168" s="151">
        <v>50</v>
      </c>
      <c r="BD168" s="151">
        <v>50</v>
      </c>
      <c r="BE168" s="221">
        <v>50</v>
      </c>
      <c r="BF168" s="142">
        <v>50</v>
      </c>
      <c r="BG168" s="137">
        <v>50</v>
      </c>
      <c r="BH168" s="151">
        <v>50</v>
      </c>
      <c r="BI168" s="151">
        <v>50</v>
      </c>
      <c r="BJ168" s="221">
        <v>50</v>
      </c>
    </row>
    <row r="169" spans="1:62" s="48" customFormat="1" ht="15" customHeight="1" x14ac:dyDescent="0.3">
      <c r="A169" s="50" t="s">
        <v>59</v>
      </c>
      <c r="B169" s="44" t="s">
        <v>26</v>
      </c>
      <c r="C169" s="9" t="s">
        <v>69</v>
      </c>
      <c r="D169" s="523" t="s">
        <v>52</v>
      </c>
      <c r="E169" s="101">
        <f t="shared" si="44"/>
        <v>23.763118124999995</v>
      </c>
      <c r="F169" s="97">
        <f t="shared" si="45"/>
        <v>32.564717838541682</v>
      </c>
      <c r="G169" s="97">
        <f t="shared" si="46"/>
        <v>2.845E-2</v>
      </c>
      <c r="H169" s="377">
        <f t="shared" si="47"/>
        <v>115</v>
      </c>
      <c r="I169" s="22">
        <v>0.06</v>
      </c>
      <c r="J169" s="21">
        <v>7.6999999999999999E-2</v>
      </c>
      <c r="K169" s="21">
        <v>9.4E-2</v>
      </c>
      <c r="L169" s="21">
        <v>0.114</v>
      </c>
      <c r="M169" s="21">
        <v>0.14299999999999999</v>
      </c>
      <c r="N169" s="21">
        <v>0.106</v>
      </c>
      <c r="O169" s="21">
        <v>0.154</v>
      </c>
      <c r="P169" s="254">
        <v>0.17499999999999999</v>
      </c>
      <c r="Q169" s="147">
        <v>3.3000000000000002E-2</v>
      </c>
      <c r="R169" s="144">
        <v>3.4000000000000002E-2</v>
      </c>
      <c r="S169" s="144">
        <v>3.5999999999999997E-2</v>
      </c>
      <c r="T169" s="144">
        <v>3.6999999999999998E-2</v>
      </c>
      <c r="U169" s="144">
        <v>5.3999999999999999E-2</v>
      </c>
      <c r="V169" s="144">
        <v>90</v>
      </c>
      <c r="W169" s="144">
        <v>93</v>
      </c>
      <c r="X169" s="144">
        <v>100</v>
      </c>
      <c r="Y169" s="144">
        <v>106</v>
      </c>
      <c r="Z169" s="146">
        <v>115</v>
      </c>
      <c r="AA169" s="22">
        <v>2.845E-2</v>
      </c>
      <c r="AB169" s="21">
        <v>3.2329999999999998E-2</v>
      </c>
      <c r="AC169" s="21">
        <v>3.6899999999999995E-2</v>
      </c>
      <c r="AD169" s="21">
        <v>4.1460000000000004E-2</v>
      </c>
      <c r="AE169" s="23">
        <v>4.6030000000000001E-2</v>
      </c>
      <c r="AF169" s="22">
        <v>3.3000000000000002E-2</v>
      </c>
      <c r="AG169" s="21">
        <v>3.4000000000000002E-2</v>
      </c>
      <c r="AH169" s="21">
        <v>3.5999999999999997E-2</v>
      </c>
      <c r="AI169" s="21">
        <v>3.6999999999999998E-2</v>
      </c>
      <c r="AJ169" s="23">
        <v>3.9E-2</v>
      </c>
      <c r="AK169" s="21">
        <v>9.1499999999999998E-2</v>
      </c>
      <c r="AL169" s="254">
        <v>0.112</v>
      </c>
      <c r="AM169" s="22">
        <v>0.14599999999999999</v>
      </c>
      <c r="AN169" s="21">
        <v>0.13300000000000001</v>
      </c>
      <c r="AO169" s="254">
        <v>0.19400000000000001</v>
      </c>
      <c r="AP169" s="23">
        <v>0.22500000000000001</v>
      </c>
      <c r="AQ169" s="22">
        <v>5.0999999999999997E-2</v>
      </c>
      <c r="AR169" s="21">
        <v>5.8000000000000003E-2</v>
      </c>
      <c r="AS169" s="254">
        <v>6.4000000000000001E-2</v>
      </c>
      <c r="AT169" s="254">
        <v>102</v>
      </c>
      <c r="AU169" s="23">
        <v>7.3999999999999996E-2</v>
      </c>
      <c r="AV169" s="22">
        <v>43</v>
      </c>
      <c r="AW169" s="21">
        <v>52</v>
      </c>
      <c r="AX169" s="254">
        <v>62</v>
      </c>
      <c r="AY169" s="254">
        <v>71</v>
      </c>
      <c r="AZ169" s="23">
        <v>80</v>
      </c>
      <c r="BA169" s="22">
        <v>41</v>
      </c>
      <c r="BB169" s="21">
        <v>51</v>
      </c>
      <c r="BC169" s="254">
        <v>61</v>
      </c>
      <c r="BD169" s="254">
        <v>71</v>
      </c>
      <c r="BE169" s="23">
        <v>81</v>
      </c>
      <c r="BF169" s="22">
        <v>43</v>
      </c>
      <c r="BG169" s="21">
        <v>50</v>
      </c>
      <c r="BH169" s="254">
        <v>58</v>
      </c>
      <c r="BI169" s="254">
        <v>65</v>
      </c>
      <c r="BJ169" s="23">
        <v>73</v>
      </c>
    </row>
    <row r="170" spans="1:62" s="48" customFormat="1" ht="15" customHeight="1" x14ac:dyDescent="0.3">
      <c r="A170" s="50" t="s">
        <v>51</v>
      </c>
      <c r="B170" s="44" t="s">
        <v>27</v>
      </c>
      <c r="C170" s="9" t="s">
        <v>69</v>
      </c>
      <c r="D170" s="523" t="s">
        <v>52</v>
      </c>
      <c r="E170" s="101">
        <f t="shared" si="44"/>
        <v>7.0019270833333325</v>
      </c>
      <c r="F170" s="97">
        <f t="shared" si="45"/>
        <v>9.5821289062500021</v>
      </c>
      <c r="G170" s="97">
        <f t="shared" si="46"/>
        <v>1.4999999999999999E-2</v>
      </c>
      <c r="H170" s="377">
        <f t="shared" si="47"/>
        <v>40</v>
      </c>
      <c r="I170" s="139">
        <v>2.5000000000000001E-2</v>
      </c>
      <c r="J170" s="140">
        <v>0.03</v>
      </c>
      <c r="K170" s="140">
        <v>3.4000000000000002E-2</v>
      </c>
      <c r="L170" s="140">
        <v>3.3000000000000002E-2</v>
      </c>
      <c r="M170" s="140">
        <v>4.3999999999999997E-2</v>
      </c>
      <c r="N170" s="140">
        <v>4.1000000000000002E-2</v>
      </c>
      <c r="O170" s="140">
        <v>5.8999999999999997E-2</v>
      </c>
      <c r="P170" s="150">
        <v>6.5000000000000002E-2</v>
      </c>
      <c r="Q170" s="13">
        <v>1.4999999999999999E-2</v>
      </c>
      <c r="R170" s="144">
        <v>1.6E-2</v>
      </c>
      <c r="S170" s="144">
        <v>1.7000000000000001E-2</v>
      </c>
      <c r="T170" s="144">
        <v>1.7999999999999999E-2</v>
      </c>
      <c r="U170" s="144">
        <v>1.9E-2</v>
      </c>
      <c r="V170" s="127">
        <v>20</v>
      </c>
      <c r="W170" s="144">
        <v>25</v>
      </c>
      <c r="X170" s="144">
        <v>30</v>
      </c>
      <c r="Y170" s="144">
        <v>30</v>
      </c>
      <c r="Z170" s="146">
        <v>40</v>
      </c>
      <c r="AA170" s="22">
        <v>1.4999999999999999E-2</v>
      </c>
      <c r="AB170" s="21">
        <v>1.6E-2</v>
      </c>
      <c r="AC170" s="21">
        <v>1.7000000000000001E-2</v>
      </c>
      <c r="AD170" s="21">
        <v>1.7999999999999999E-2</v>
      </c>
      <c r="AE170" s="23">
        <v>1.9E-2</v>
      </c>
      <c r="AF170" s="22">
        <v>1.4999999999999999E-2</v>
      </c>
      <c r="AG170" s="21">
        <v>1.6E-2</v>
      </c>
      <c r="AH170" s="21">
        <v>1.7000000000000001E-2</v>
      </c>
      <c r="AI170" s="21">
        <v>1.7999999999999999E-2</v>
      </c>
      <c r="AJ170" s="23">
        <v>1.9E-2</v>
      </c>
      <c r="AK170" s="140">
        <v>3.4500000000000003E-2</v>
      </c>
      <c r="AL170" s="150">
        <v>4.1000000000000002E-2</v>
      </c>
      <c r="AM170" s="139">
        <v>6.0999999999999999E-2</v>
      </c>
      <c r="AN170" s="140">
        <v>5.0999999999999997E-2</v>
      </c>
      <c r="AO170" s="150">
        <v>7.9000000000000001E-2</v>
      </c>
      <c r="AP170" s="224">
        <v>8.5000000000000006E-2</v>
      </c>
      <c r="AQ170" s="139">
        <v>3.2000000000000001E-2</v>
      </c>
      <c r="AR170" s="140">
        <v>3.5999999999999997E-2</v>
      </c>
      <c r="AS170" s="150">
        <v>4.1000000000000002E-2</v>
      </c>
      <c r="AT170" s="150">
        <v>15</v>
      </c>
      <c r="AU170" s="224">
        <v>4.5999999999999999E-2</v>
      </c>
      <c r="AV170" s="139">
        <v>17</v>
      </c>
      <c r="AW170" s="140">
        <v>21</v>
      </c>
      <c r="AX170" s="150">
        <v>21</v>
      </c>
      <c r="AY170" s="150">
        <v>24</v>
      </c>
      <c r="AZ170" s="224">
        <v>24</v>
      </c>
      <c r="BA170" s="139">
        <v>17</v>
      </c>
      <c r="BB170" s="140">
        <v>17</v>
      </c>
      <c r="BC170" s="150">
        <v>17</v>
      </c>
      <c r="BD170" s="150">
        <v>17</v>
      </c>
      <c r="BE170" s="224">
        <v>17</v>
      </c>
      <c r="BF170" s="139">
        <v>17</v>
      </c>
      <c r="BG170" s="140">
        <v>21</v>
      </c>
      <c r="BH170" s="150">
        <v>21</v>
      </c>
      <c r="BI170" s="150">
        <v>24</v>
      </c>
      <c r="BJ170" s="224">
        <v>24</v>
      </c>
    </row>
    <row r="171" spans="1:62" s="48" customFormat="1" ht="15" customHeight="1" x14ac:dyDescent="0.3">
      <c r="A171" s="52" t="s">
        <v>60</v>
      </c>
      <c r="B171" s="59" t="s">
        <v>28</v>
      </c>
      <c r="C171" s="9" t="s">
        <v>69</v>
      </c>
      <c r="D171" s="523" t="s">
        <v>52</v>
      </c>
      <c r="E171" s="101">
        <f t="shared" si="44"/>
        <v>1.4425499999999998</v>
      </c>
      <c r="F171" s="97">
        <f t="shared" si="45"/>
        <v>1.9734062500000007</v>
      </c>
      <c r="G171" s="97">
        <f t="shared" si="46"/>
        <v>7.0000000000000001E-3</v>
      </c>
      <c r="H171" s="377">
        <f t="shared" si="47"/>
        <v>7</v>
      </c>
      <c r="I171" s="139">
        <v>7.7999999999999996E-3</v>
      </c>
      <c r="J171" s="140">
        <v>7.7999999999999996E-3</v>
      </c>
      <c r="K171" s="140">
        <v>7.7999999999999996E-3</v>
      </c>
      <c r="L171" s="140">
        <v>7.7999999999999996E-3</v>
      </c>
      <c r="M171" s="140">
        <v>7.7999999999999996E-3</v>
      </c>
      <c r="N171" s="140">
        <v>7.7999999999999996E-3</v>
      </c>
      <c r="O171" s="140">
        <v>7.7999999999999996E-3</v>
      </c>
      <c r="P171" s="150">
        <v>7.7999999999999996E-3</v>
      </c>
      <c r="Q171" s="16">
        <v>7.0000000000000001E-3</v>
      </c>
      <c r="R171" s="17">
        <v>7.0000000000000001E-3</v>
      </c>
      <c r="S171" s="17">
        <v>7.0000000000000001E-3</v>
      </c>
      <c r="T171" s="17">
        <v>7.0000000000000001E-3</v>
      </c>
      <c r="U171" s="17">
        <v>7.0000000000000001E-3</v>
      </c>
      <c r="V171" s="17">
        <v>7</v>
      </c>
      <c r="W171" s="17">
        <v>7</v>
      </c>
      <c r="X171" s="17">
        <v>7</v>
      </c>
      <c r="Y171" s="17">
        <v>7</v>
      </c>
      <c r="Z171" s="19">
        <v>7</v>
      </c>
      <c r="AA171" s="16">
        <v>7.0000000000000001E-3</v>
      </c>
      <c r="AB171" s="129">
        <v>7.0000000000000001E-3</v>
      </c>
      <c r="AC171" s="129">
        <v>7.0000000000000001E-3</v>
      </c>
      <c r="AD171" s="129">
        <v>7.0000000000000001E-3</v>
      </c>
      <c r="AE171" s="260">
        <v>7.0000000000000001E-3</v>
      </c>
      <c r="AF171" s="16">
        <v>7.0000000000000001E-3</v>
      </c>
      <c r="AG171" s="129">
        <v>7.0000000000000001E-3</v>
      </c>
      <c r="AH171" s="129">
        <v>7.0000000000000001E-3</v>
      </c>
      <c r="AI171" s="129">
        <v>7.0000000000000001E-3</v>
      </c>
      <c r="AJ171" s="260">
        <v>7.0000000000000001E-3</v>
      </c>
      <c r="AK171" s="140">
        <v>7.7999999999999996E-3</v>
      </c>
      <c r="AL171" s="150">
        <v>7.7999999999999996E-3</v>
      </c>
      <c r="AM171" s="139">
        <v>7.7999999999999996E-3</v>
      </c>
      <c r="AN171" s="140">
        <v>8.0000000000000002E-3</v>
      </c>
      <c r="AO171" s="150">
        <v>7.7999999999999996E-3</v>
      </c>
      <c r="AP171" s="224">
        <v>7.7999999999999996E-3</v>
      </c>
      <c r="AQ171" s="139">
        <v>7.0000000000000001E-3</v>
      </c>
      <c r="AR171" s="140">
        <v>7.0000000000000001E-3</v>
      </c>
      <c r="AS171" s="150">
        <v>7.0000000000000001E-3</v>
      </c>
      <c r="AT171" s="150">
        <v>7</v>
      </c>
      <c r="AU171" s="224">
        <v>7.0000000000000001E-3</v>
      </c>
      <c r="AV171" s="139">
        <v>3</v>
      </c>
      <c r="AW171" s="140">
        <v>3</v>
      </c>
      <c r="AX171" s="150">
        <v>3</v>
      </c>
      <c r="AY171" s="150">
        <v>3</v>
      </c>
      <c r="AZ171" s="224">
        <v>3</v>
      </c>
      <c r="BA171" s="139">
        <v>3</v>
      </c>
      <c r="BB171" s="140">
        <v>3</v>
      </c>
      <c r="BC171" s="150">
        <v>3</v>
      </c>
      <c r="BD171" s="150">
        <v>3</v>
      </c>
      <c r="BE171" s="224">
        <v>3</v>
      </c>
      <c r="BF171" s="139">
        <v>3</v>
      </c>
      <c r="BG171" s="140">
        <v>3</v>
      </c>
      <c r="BH171" s="150">
        <v>3</v>
      </c>
      <c r="BI171" s="150">
        <v>3</v>
      </c>
      <c r="BJ171" s="224">
        <v>3</v>
      </c>
    </row>
    <row r="172" spans="1:62" s="48" customFormat="1" ht="15" customHeight="1" x14ac:dyDescent="0.3">
      <c r="A172" s="50" t="s">
        <v>17</v>
      </c>
      <c r="B172" s="44" t="s">
        <v>101</v>
      </c>
      <c r="C172" s="9" t="s">
        <v>70</v>
      </c>
      <c r="D172" s="523" t="s">
        <v>52</v>
      </c>
      <c r="E172" s="101">
        <f t="shared" si="44"/>
        <v>0.9986458333333329</v>
      </c>
      <c r="F172" s="97">
        <f t="shared" si="45"/>
        <v>3.3993923611111108E-2</v>
      </c>
      <c r="G172" s="97">
        <f t="shared" si="46"/>
        <v>0.92500000000000004</v>
      </c>
      <c r="H172" s="377">
        <f t="shared" si="47"/>
        <v>1.073</v>
      </c>
      <c r="I172" s="22">
        <v>0.92500000000000004</v>
      </c>
      <c r="J172" s="21">
        <v>0.94699999999999995</v>
      </c>
      <c r="K172" s="21">
        <v>0.94</v>
      </c>
      <c r="L172" s="21">
        <v>0.94599999999999995</v>
      </c>
      <c r="M172" s="21">
        <v>0.95499999999999996</v>
      </c>
      <c r="N172" s="21">
        <v>0.95499999999999996</v>
      </c>
      <c r="O172" s="21">
        <v>0.95499999999999996</v>
      </c>
      <c r="P172" s="254">
        <v>0.95399999999999996</v>
      </c>
      <c r="Q172" s="139">
        <v>0.97599999999999998</v>
      </c>
      <c r="R172" s="140">
        <v>0.97599999999999998</v>
      </c>
      <c r="S172" s="140">
        <v>0.97599999999999998</v>
      </c>
      <c r="T172" s="140">
        <v>0.97499999999999998</v>
      </c>
      <c r="U172" s="140">
        <v>0.97499999999999998</v>
      </c>
      <c r="V172" s="140">
        <v>0.97099999999999997</v>
      </c>
      <c r="W172" s="140">
        <v>0.97</v>
      </c>
      <c r="X172" s="140">
        <v>0.96899999999999997</v>
      </c>
      <c r="Y172" s="140">
        <v>0.96699999999999997</v>
      </c>
      <c r="Z172" s="224">
        <v>0.96499999999999997</v>
      </c>
      <c r="AA172" s="22">
        <v>1.012</v>
      </c>
      <c r="AB172" s="21">
        <v>1.0109999999999999</v>
      </c>
      <c r="AC172" s="21">
        <v>1.0109999999999999</v>
      </c>
      <c r="AD172" s="21">
        <v>1.01</v>
      </c>
      <c r="AE172" s="23">
        <v>1.0089999999999999</v>
      </c>
      <c r="AF172" s="22">
        <v>1.0549999999999999</v>
      </c>
      <c r="AG172" s="21">
        <v>1.06</v>
      </c>
      <c r="AH172" s="21">
        <v>1.0640000000000001</v>
      </c>
      <c r="AI172" s="21">
        <v>1.069</v>
      </c>
      <c r="AJ172" s="23">
        <v>1.073</v>
      </c>
      <c r="AK172" s="21">
        <v>1.02</v>
      </c>
      <c r="AL172" s="254">
        <v>1.028</v>
      </c>
      <c r="AM172" s="22">
        <v>1.0269999999999999</v>
      </c>
      <c r="AN172" s="21">
        <v>1.0269999999999999</v>
      </c>
      <c r="AO172" s="254">
        <v>1.0269999999999999</v>
      </c>
      <c r="AP172" s="23">
        <v>1.0269999999999999</v>
      </c>
      <c r="AQ172" s="22">
        <v>1.0249999999999999</v>
      </c>
      <c r="AR172" s="21">
        <v>1.022</v>
      </c>
      <c r="AS172" s="254">
        <v>1.0189999999999999</v>
      </c>
      <c r="AT172" s="254">
        <v>1.0269999999999999</v>
      </c>
      <c r="AU172" s="23">
        <v>1.0149999999999999</v>
      </c>
      <c r="AV172" s="22">
        <v>0.96799999999999997</v>
      </c>
      <c r="AW172" s="21">
        <v>0.97</v>
      </c>
      <c r="AX172" s="254">
        <v>0.97099999999999997</v>
      </c>
      <c r="AY172" s="254">
        <v>0.97299999999999998</v>
      </c>
      <c r="AZ172" s="23">
        <v>0.97399999999999998</v>
      </c>
      <c r="BA172" s="22">
        <v>1.0469999999999999</v>
      </c>
      <c r="BB172" s="21">
        <v>1.04</v>
      </c>
      <c r="BC172" s="254">
        <v>1.032</v>
      </c>
      <c r="BD172" s="254">
        <v>1.0249999999999999</v>
      </c>
      <c r="BE172" s="23">
        <v>1.02</v>
      </c>
      <c r="BF172" s="22">
        <v>1.046</v>
      </c>
      <c r="BG172" s="21">
        <v>1.0469999999999999</v>
      </c>
      <c r="BH172" s="254">
        <v>1.048</v>
      </c>
      <c r="BI172" s="254">
        <v>1.048</v>
      </c>
      <c r="BJ172" s="23">
        <v>1.0489999999999999</v>
      </c>
    </row>
    <row r="173" spans="1:62" s="48" customFormat="1" ht="15" customHeight="1" thickBot="1" x14ac:dyDescent="0.35">
      <c r="A173" s="54" t="s">
        <v>18</v>
      </c>
      <c r="B173" s="61" t="s">
        <v>102</v>
      </c>
      <c r="C173" s="10" t="s">
        <v>70</v>
      </c>
      <c r="D173" s="524" t="s">
        <v>52</v>
      </c>
      <c r="E173" s="104">
        <f t="shared" si="44"/>
        <v>0.98495833333333349</v>
      </c>
      <c r="F173" s="105">
        <f t="shared" si="45"/>
        <v>3.7876736111111094E-2</v>
      </c>
      <c r="G173" s="105">
        <f t="shared" si="46"/>
        <v>0.91</v>
      </c>
      <c r="H173" s="380">
        <f t="shared" si="47"/>
        <v>1.044</v>
      </c>
      <c r="I173" s="20">
        <v>0.92100000000000004</v>
      </c>
      <c r="J173" s="11">
        <v>0.94599999999999995</v>
      </c>
      <c r="K173" s="11">
        <v>0.91</v>
      </c>
      <c r="L173" s="11">
        <v>0.91100000000000003</v>
      </c>
      <c r="M173" s="11">
        <v>0.94699999999999995</v>
      </c>
      <c r="N173" s="11">
        <v>0.94699999999999995</v>
      </c>
      <c r="O173" s="11">
        <v>0.94899999999999995</v>
      </c>
      <c r="P173" s="30">
        <v>0.94899999999999995</v>
      </c>
      <c r="Q173" s="20">
        <v>0.96799999999999997</v>
      </c>
      <c r="R173" s="11">
        <v>0.96799999999999997</v>
      </c>
      <c r="S173" s="11">
        <v>0.96799999999999997</v>
      </c>
      <c r="T173" s="11">
        <v>0.96599999999999997</v>
      </c>
      <c r="U173" s="11">
        <v>0.96199999999999997</v>
      </c>
      <c r="V173" s="11">
        <v>0.94399999999999995</v>
      </c>
      <c r="W173" s="11">
        <v>0.94599999999999995</v>
      </c>
      <c r="X173" s="11">
        <v>0.94799999999999995</v>
      </c>
      <c r="Y173" s="11">
        <v>0.94799999999999995</v>
      </c>
      <c r="Z173" s="12">
        <v>0.95199999999999996</v>
      </c>
      <c r="AA173" s="259">
        <v>1.0049999999999999</v>
      </c>
      <c r="AB173" s="258">
        <v>1.006</v>
      </c>
      <c r="AC173" s="258">
        <v>1.006</v>
      </c>
      <c r="AD173" s="258">
        <v>1.0069999999999999</v>
      </c>
      <c r="AE173" s="257">
        <v>1.0069999999999999</v>
      </c>
      <c r="AF173" s="259">
        <v>1.034</v>
      </c>
      <c r="AG173" s="258">
        <v>1.0369999999999999</v>
      </c>
      <c r="AH173" s="258">
        <v>1.0389999999999999</v>
      </c>
      <c r="AI173" s="258">
        <v>1.042</v>
      </c>
      <c r="AJ173" s="257">
        <v>1.044</v>
      </c>
      <c r="AK173" s="11">
        <v>1.0049999999999999</v>
      </c>
      <c r="AL173" s="30">
        <v>1.0229999999999999</v>
      </c>
      <c r="AM173" s="20">
        <v>1.022</v>
      </c>
      <c r="AN173" s="11">
        <v>1.0209999999999999</v>
      </c>
      <c r="AO173" s="30">
        <v>1.02</v>
      </c>
      <c r="AP173" s="12">
        <v>1.0189999999999999</v>
      </c>
      <c r="AQ173" s="20">
        <v>1.0169999999999999</v>
      </c>
      <c r="AR173" s="11">
        <v>1.018</v>
      </c>
      <c r="AS173" s="30">
        <v>1.018</v>
      </c>
      <c r="AT173" s="30">
        <v>1.016</v>
      </c>
      <c r="AU173" s="12">
        <v>1.0189999999999999</v>
      </c>
      <c r="AV173" s="20">
        <v>0.93300000000000005</v>
      </c>
      <c r="AW173" s="11">
        <v>0.93799999999999994</v>
      </c>
      <c r="AX173" s="30">
        <v>0.93799999999999994</v>
      </c>
      <c r="AY173" s="30">
        <v>0.94299999999999995</v>
      </c>
      <c r="AZ173" s="12">
        <v>0.94299999999999995</v>
      </c>
      <c r="BA173" s="20">
        <v>1.0269999999999999</v>
      </c>
      <c r="BB173" s="11">
        <v>1.0269999999999999</v>
      </c>
      <c r="BC173" s="30">
        <v>1.0269999999999999</v>
      </c>
      <c r="BD173" s="30">
        <v>1.0269999999999999</v>
      </c>
      <c r="BE173" s="12">
        <v>1.0269999999999999</v>
      </c>
      <c r="BF173" s="20">
        <v>1.03</v>
      </c>
      <c r="BG173" s="11">
        <v>1.032</v>
      </c>
      <c r="BH173" s="30">
        <v>1.032</v>
      </c>
      <c r="BI173" s="30">
        <v>1.0349999999999999</v>
      </c>
      <c r="BJ173" s="12">
        <v>1.0349999999999999</v>
      </c>
    </row>
    <row r="174" spans="1:62" s="37" customFormat="1" ht="25.05" customHeight="1" thickBot="1" x14ac:dyDescent="0.35">
      <c r="A174" s="69"/>
      <c r="B174" s="69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</row>
    <row r="175" spans="1:62" s="55" customFormat="1" ht="15" customHeight="1" thickBot="1" x14ac:dyDescent="0.35">
      <c r="A175" s="115" t="s">
        <v>282</v>
      </c>
      <c r="B175" s="116"/>
      <c r="C175" s="116"/>
      <c r="D175" s="375" t="s">
        <v>282</v>
      </c>
      <c r="E175" s="1013" t="s">
        <v>282</v>
      </c>
      <c r="F175" s="1014"/>
      <c r="G175" s="1014"/>
      <c r="H175" s="1015"/>
      <c r="I175" s="951" t="s">
        <v>282</v>
      </c>
      <c r="J175" s="945"/>
      <c r="K175" s="945"/>
      <c r="L175" s="945"/>
      <c r="M175" s="945"/>
      <c r="N175" s="945"/>
      <c r="O175" s="945"/>
      <c r="P175" s="945"/>
      <c r="Q175" s="951" t="s">
        <v>282</v>
      </c>
      <c r="R175" s="945"/>
      <c r="S175" s="945"/>
      <c r="T175" s="945"/>
      <c r="U175" s="945"/>
      <c r="V175" s="942" t="s">
        <v>282</v>
      </c>
      <c r="W175" s="943"/>
      <c r="X175" s="943"/>
      <c r="Y175" s="943"/>
      <c r="Z175" s="943"/>
      <c r="AA175" s="943"/>
      <c r="AB175" s="943"/>
      <c r="AC175" s="943"/>
      <c r="AD175" s="944"/>
      <c r="AE175" s="945" t="s">
        <v>330</v>
      </c>
      <c r="AF175" s="945"/>
      <c r="AG175" s="945"/>
      <c r="AH175" s="945"/>
      <c r="AI175" s="945"/>
      <c r="AJ175" s="946"/>
      <c r="AK175" s="490"/>
    </row>
    <row r="176" spans="1:62" s="7" customFormat="1" ht="40.049999999999997" customHeight="1" thickBot="1" x14ac:dyDescent="0.35">
      <c r="A176" s="1025">
        <f>COUNTA(I176:CA176)</f>
        <v>28</v>
      </c>
      <c r="B176" s="1025"/>
      <c r="C176" s="1026"/>
      <c r="D176" s="262" t="s">
        <v>0</v>
      </c>
      <c r="E176" s="110" t="s">
        <v>31</v>
      </c>
      <c r="F176" s="573" t="s">
        <v>512</v>
      </c>
      <c r="G176" s="111" t="s">
        <v>57</v>
      </c>
      <c r="H176" s="112" t="s">
        <v>58</v>
      </c>
      <c r="I176" s="136" t="s">
        <v>307</v>
      </c>
      <c r="J176" s="252" t="s">
        <v>308</v>
      </c>
      <c r="K176" s="252" t="s">
        <v>309</v>
      </c>
      <c r="L176" s="252" t="s">
        <v>310</v>
      </c>
      <c r="M176" s="252" t="s">
        <v>311</v>
      </c>
      <c r="N176" s="252" t="s">
        <v>312</v>
      </c>
      <c r="O176" s="252" t="s">
        <v>313</v>
      </c>
      <c r="P176" s="508" t="s">
        <v>314</v>
      </c>
      <c r="Q176" s="504" t="s">
        <v>315</v>
      </c>
      <c r="R176" s="39" t="s">
        <v>316</v>
      </c>
      <c r="S176" s="39" t="s">
        <v>317</v>
      </c>
      <c r="T176" s="39" t="s">
        <v>318</v>
      </c>
      <c r="U176" s="40" t="s">
        <v>757</v>
      </c>
      <c r="V176" s="504" t="s">
        <v>319</v>
      </c>
      <c r="W176" s="39" t="s">
        <v>320</v>
      </c>
      <c r="X176" s="39" t="s">
        <v>321</v>
      </c>
      <c r="Y176" s="39" t="s">
        <v>322</v>
      </c>
      <c r="Z176" s="39" t="s">
        <v>323</v>
      </c>
      <c r="AA176" s="39" t="s">
        <v>758</v>
      </c>
      <c r="AB176" s="39" t="s">
        <v>759</v>
      </c>
      <c r="AC176" s="39" t="s">
        <v>760</v>
      </c>
      <c r="AD176" s="148" t="s">
        <v>761</v>
      </c>
      <c r="AE176" s="134" t="s">
        <v>324</v>
      </c>
      <c r="AF176" s="134" t="s">
        <v>325</v>
      </c>
      <c r="AG176" s="251" t="s">
        <v>326</v>
      </c>
      <c r="AH176" s="251" t="s">
        <v>327</v>
      </c>
      <c r="AI176" s="251" t="s">
        <v>328</v>
      </c>
      <c r="AJ176" s="41" t="s">
        <v>329</v>
      </c>
      <c r="AK176" s="381"/>
    </row>
    <row r="177" spans="1:37" s="47" customFormat="1" ht="15" customHeight="1" thickBot="1" x14ac:dyDescent="0.35">
      <c r="A177" s="1027"/>
      <c r="B177" s="1027"/>
      <c r="C177" s="1028"/>
      <c r="D177" s="36" t="s">
        <v>33</v>
      </c>
      <c r="E177" s="971" t="s">
        <v>513</v>
      </c>
      <c r="F177" s="972"/>
      <c r="G177" s="972"/>
      <c r="H177" s="973"/>
      <c r="I177" s="947" t="s">
        <v>29</v>
      </c>
      <c r="J177" s="948"/>
      <c r="K177" s="948"/>
      <c r="L177" s="948"/>
      <c r="M177" s="948"/>
      <c r="N177" s="948"/>
      <c r="O177" s="948"/>
      <c r="P177" s="948"/>
      <c r="Q177" s="947" t="s">
        <v>29</v>
      </c>
      <c r="R177" s="948"/>
      <c r="S177" s="948"/>
      <c r="T177" s="948"/>
      <c r="U177" s="948"/>
      <c r="V177" s="924" t="s">
        <v>179</v>
      </c>
      <c r="W177" s="925"/>
      <c r="X177" s="925"/>
      <c r="Y177" s="925"/>
      <c r="Z177" s="925"/>
      <c r="AA177" s="925"/>
      <c r="AB177" s="925"/>
      <c r="AC177" s="925"/>
      <c r="AD177" s="926"/>
      <c r="AE177" s="958" t="s">
        <v>179</v>
      </c>
      <c r="AF177" s="958"/>
      <c r="AG177" s="958"/>
      <c r="AH177" s="958"/>
      <c r="AI177" s="958"/>
      <c r="AJ177" s="959"/>
      <c r="AK177" s="381"/>
    </row>
    <row r="178" spans="1:37" s="47" customFormat="1" ht="15" customHeight="1" thickBot="1" x14ac:dyDescent="0.35">
      <c r="A178" s="57" t="s">
        <v>54</v>
      </c>
      <c r="B178" s="58" t="s">
        <v>55</v>
      </c>
      <c r="C178" s="62" t="s">
        <v>1</v>
      </c>
      <c r="D178" s="56" t="s">
        <v>32</v>
      </c>
      <c r="E178" s="971"/>
      <c r="F178" s="972"/>
      <c r="G178" s="972"/>
      <c r="H178" s="973"/>
      <c r="I178" s="949"/>
      <c r="J178" s="950"/>
      <c r="K178" s="950"/>
      <c r="L178" s="950"/>
      <c r="M178" s="950"/>
      <c r="N178" s="950"/>
      <c r="O178" s="950"/>
      <c r="P178" s="950"/>
      <c r="Q178" s="949"/>
      <c r="R178" s="950"/>
      <c r="S178" s="950"/>
      <c r="T178" s="950"/>
      <c r="U178" s="950"/>
      <c r="V178" s="927"/>
      <c r="W178" s="928"/>
      <c r="X178" s="928"/>
      <c r="Y178" s="928"/>
      <c r="Z178" s="928"/>
      <c r="AA178" s="928"/>
      <c r="AB178" s="928"/>
      <c r="AC178" s="928"/>
      <c r="AD178" s="929"/>
      <c r="AE178" s="960"/>
      <c r="AF178" s="960"/>
      <c r="AG178" s="960"/>
      <c r="AH178" s="960"/>
      <c r="AI178" s="960"/>
      <c r="AJ178" s="961"/>
      <c r="AK178" s="381"/>
    </row>
    <row r="179" spans="1:37" s="47" customFormat="1" ht="15" customHeight="1" x14ac:dyDescent="0.3">
      <c r="A179" s="46" t="s">
        <v>5</v>
      </c>
      <c r="B179" s="60" t="s">
        <v>21</v>
      </c>
      <c r="C179" s="8" t="s">
        <v>69</v>
      </c>
      <c r="D179" s="522" t="s">
        <v>52</v>
      </c>
      <c r="E179" s="99">
        <f t="shared" ref="E179:E188" si="48">AVERAGE(I179:BY179)</f>
        <v>27.035714285714285</v>
      </c>
      <c r="F179" s="100">
        <f t="shared" ref="F179:F188" si="49">AVEDEV(I179:BY179)</f>
        <v>12.543367346938775</v>
      </c>
      <c r="G179" s="100">
        <f t="shared" ref="G179:G188" si="50">MIN(I179:BY179)</f>
        <v>10</v>
      </c>
      <c r="H179" s="376">
        <f t="shared" ref="H179:H188" si="51">MAX(I179:BY179)</f>
        <v>64</v>
      </c>
      <c r="I179" s="31">
        <v>12</v>
      </c>
      <c r="J179" s="32">
        <v>15</v>
      </c>
      <c r="K179" s="32">
        <v>20</v>
      </c>
      <c r="L179" s="32">
        <v>25</v>
      </c>
      <c r="M179" s="32">
        <v>32</v>
      </c>
      <c r="N179" s="32">
        <v>36</v>
      </c>
      <c r="O179" s="32">
        <v>48</v>
      </c>
      <c r="P179" s="33">
        <v>56</v>
      </c>
      <c r="Q179" s="505">
        <v>10</v>
      </c>
      <c r="R179" s="755">
        <v>12</v>
      </c>
      <c r="S179" s="755">
        <v>14</v>
      </c>
      <c r="T179" s="755">
        <v>16</v>
      </c>
      <c r="U179" s="506">
        <v>18</v>
      </c>
      <c r="V179" s="596">
        <v>10</v>
      </c>
      <c r="W179" s="564">
        <v>12</v>
      </c>
      <c r="X179" s="564">
        <v>14</v>
      </c>
      <c r="Y179" s="564">
        <v>16</v>
      </c>
      <c r="Z179" s="564">
        <v>18</v>
      </c>
      <c r="AA179" s="755">
        <v>22</v>
      </c>
      <c r="AB179" s="755">
        <v>25</v>
      </c>
      <c r="AC179" s="755">
        <v>28</v>
      </c>
      <c r="AD179" s="507">
        <v>32</v>
      </c>
      <c r="AE179" s="756">
        <v>25</v>
      </c>
      <c r="AF179" s="32">
        <v>32</v>
      </c>
      <c r="AG179" s="32">
        <v>41</v>
      </c>
      <c r="AH179" s="32">
        <v>49</v>
      </c>
      <c r="AI179" s="32">
        <v>55</v>
      </c>
      <c r="AJ179" s="250">
        <v>64</v>
      </c>
      <c r="AK179" s="381"/>
    </row>
    <row r="180" spans="1:37" s="47" customFormat="1" ht="15" customHeight="1" x14ac:dyDescent="0.3">
      <c r="A180" s="50" t="s">
        <v>6</v>
      </c>
      <c r="B180" s="44" t="s">
        <v>22</v>
      </c>
      <c r="C180" s="9" t="s">
        <v>70</v>
      </c>
      <c r="D180" s="523" t="s">
        <v>52</v>
      </c>
      <c r="E180" s="101">
        <f t="shared" si="48"/>
        <v>6.2500000000000029E-3</v>
      </c>
      <c r="F180" s="97">
        <f t="shared" si="49"/>
        <v>2.2499999999999998E-3</v>
      </c>
      <c r="G180" s="97">
        <f t="shared" si="50"/>
        <v>3.0000000000000001E-3</v>
      </c>
      <c r="H180" s="377">
        <f t="shared" si="51"/>
        <v>1.6E-2</v>
      </c>
      <c r="I180" s="139">
        <v>1.6E-2</v>
      </c>
      <c r="J180" s="140">
        <v>0.01</v>
      </c>
      <c r="K180" s="140">
        <v>8.0000000000000002E-3</v>
      </c>
      <c r="L180" s="140">
        <v>7.0000000000000001E-3</v>
      </c>
      <c r="M180" s="140">
        <v>7.0000000000000001E-3</v>
      </c>
      <c r="N180" s="140">
        <v>6.0000000000000001E-3</v>
      </c>
      <c r="O180" s="140">
        <v>5.0000000000000001E-3</v>
      </c>
      <c r="P180" s="150">
        <v>5.0000000000000001E-3</v>
      </c>
      <c r="Q180" s="139">
        <v>4.0000000000000001E-3</v>
      </c>
      <c r="R180" s="140">
        <v>4.0000000000000001E-3</v>
      </c>
      <c r="S180" s="140">
        <v>3.0000000000000001E-3</v>
      </c>
      <c r="T180" s="140">
        <v>3.0000000000000001E-3</v>
      </c>
      <c r="U180" s="150">
        <v>3.0000000000000001E-3</v>
      </c>
      <c r="V180" s="139">
        <v>4.0000000000000001E-3</v>
      </c>
      <c r="W180" s="140">
        <v>4.0000000000000001E-3</v>
      </c>
      <c r="X180" s="140">
        <v>3.0000000000000001E-3</v>
      </c>
      <c r="Y180" s="140">
        <v>3.0000000000000001E-3</v>
      </c>
      <c r="Z180" s="140">
        <v>3.0000000000000001E-3</v>
      </c>
      <c r="AA180" s="140">
        <v>0.01</v>
      </c>
      <c r="AB180" s="140">
        <v>8.9999999999999993E-3</v>
      </c>
      <c r="AC180" s="140">
        <v>8.0000000000000002E-3</v>
      </c>
      <c r="AD180" s="224">
        <v>6.0000000000000001E-3</v>
      </c>
      <c r="AE180" s="141">
        <v>8.9999999999999993E-3</v>
      </c>
      <c r="AF180" s="140">
        <v>7.0000000000000001E-3</v>
      </c>
      <c r="AG180" s="140">
        <v>7.0000000000000001E-3</v>
      </c>
      <c r="AH180" s="140">
        <v>7.0000000000000001E-3</v>
      </c>
      <c r="AI180" s="140">
        <v>7.0000000000000001E-3</v>
      </c>
      <c r="AJ180" s="224">
        <v>7.0000000000000001E-3</v>
      </c>
      <c r="AK180" s="381"/>
    </row>
    <row r="181" spans="1:37" s="47" customFormat="1" ht="15" customHeight="1" x14ac:dyDescent="0.3">
      <c r="A181" s="50" t="s">
        <v>64</v>
      </c>
      <c r="B181" s="59" t="s">
        <v>152</v>
      </c>
      <c r="C181" s="9" t="s">
        <v>70</v>
      </c>
      <c r="D181" s="523" t="s">
        <v>61</v>
      </c>
      <c r="E181" s="102">
        <f t="shared" si="48"/>
        <v>0.3021428571428571</v>
      </c>
      <c r="F181" s="98">
        <f t="shared" si="49"/>
        <v>4.7959183673469226E-3</v>
      </c>
      <c r="G181" s="98">
        <f t="shared" si="50"/>
        <v>0.28000000000000003</v>
      </c>
      <c r="H181" s="378">
        <f t="shared" si="51"/>
        <v>0.32</v>
      </c>
      <c r="I181" s="249">
        <v>0.28000000000000003</v>
      </c>
      <c r="J181" s="222">
        <v>0.3</v>
      </c>
      <c r="K181" s="222">
        <v>0.3</v>
      </c>
      <c r="L181" s="222">
        <v>0.32</v>
      </c>
      <c r="M181" s="222">
        <v>0.31</v>
      </c>
      <c r="N181" s="222">
        <v>0.31</v>
      </c>
      <c r="O181" s="222">
        <v>0.31</v>
      </c>
      <c r="P181" s="255">
        <v>0.3</v>
      </c>
      <c r="Q181" s="249">
        <v>0.3</v>
      </c>
      <c r="R181" s="222">
        <v>0.3</v>
      </c>
      <c r="S181" s="222">
        <v>0.3</v>
      </c>
      <c r="T181" s="222">
        <v>0.3</v>
      </c>
      <c r="U181" s="255">
        <v>0.3</v>
      </c>
      <c r="V181" s="107">
        <v>0.3</v>
      </c>
      <c r="W181" s="79">
        <v>0.3</v>
      </c>
      <c r="X181" s="79">
        <v>0.3</v>
      </c>
      <c r="Y181" s="79">
        <v>0.3</v>
      </c>
      <c r="Z181" s="79">
        <v>0.3</v>
      </c>
      <c r="AA181" s="222">
        <v>0.3</v>
      </c>
      <c r="AB181" s="222">
        <v>0.3</v>
      </c>
      <c r="AC181" s="222">
        <v>0.3</v>
      </c>
      <c r="AD181" s="223">
        <v>0.3</v>
      </c>
      <c r="AE181" s="563">
        <v>0.32</v>
      </c>
      <c r="AF181" s="222">
        <v>0.31</v>
      </c>
      <c r="AG181" s="222">
        <v>0.3</v>
      </c>
      <c r="AH181" s="222">
        <v>0.3</v>
      </c>
      <c r="AI181" s="222">
        <v>0.3</v>
      </c>
      <c r="AJ181" s="223">
        <v>0.3</v>
      </c>
      <c r="AK181" s="381"/>
    </row>
    <row r="182" spans="1:37" s="47" customFormat="1" ht="15" customHeight="1" x14ac:dyDescent="0.3">
      <c r="A182" s="50" t="s">
        <v>3</v>
      </c>
      <c r="B182" s="44" t="s">
        <v>153</v>
      </c>
      <c r="C182" s="9" t="s">
        <v>71</v>
      </c>
      <c r="D182" s="523" t="s">
        <v>52</v>
      </c>
      <c r="E182" s="103">
        <f t="shared" si="48"/>
        <v>59.285714285714285</v>
      </c>
      <c r="F182" s="96">
        <f t="shared" si="49"/>
        <v>9.9489795918367321</v>
      </c>
      <c r="G182" s="96">
        <f t="shared" si="50"/>
        <v>50</v>
      </c>
      <c r="H182" s="379">
        <f t="shared" si="51"/>
        <v>70</v>
      </c>
      <c r="I182" s="142">
        <v>70</v>
      </c>
      <c r="J182" s="137">
        <v>70</v>
      </c>
      <c r="K182" s="137">
        <v>70</v>
      </c>
      <c r="L182" s="137">
        <v>70</v>
      </c>
      <c r="M182" s="137">
        <v>70</v>
      </c>
      <c r="N182" s="137">
        <v>70</v>
      </c>
      <c r="O182" s="137">
        <v>70</v>
      </c>
      <c r="P182" s="151">
        <v>70</v>
      </c>
      <c r="Q182" s="142">
        <v>70</v>
      </c>
      <c r="R182" s="137">
        <v>70</v>
      </c>
      <c r="S182" s="137">
        <v>70</v>
      </c>
      <c r="T182" s="137">
        <v>70</v>
      </c>
      <c r="U182" s="151">
        <v>70</v>
      </c>
      <c r="V182" s="142">
        <v>50</v>
      </c>
      <c r="W182" s="137">
        <v>50</v>
      </c>
      <c r="X182" s="137">
        <v>50</v>
      </c>
      <c r="Y182" s="137">
        <v>50</v>
      </c>
      <c r="Z182" s="137">
        <v>50</v>
      </c>
      <c r="AA182" s="137">
        <v>50</v>
      </c>
      <c r="AB182" s="137">
        <v>50</v>
      </c>
      <c r="AC182" s="137">
        <v>50</v>
      </c>
      <c r="AD182" s="221">
        <v>50</v>
      </c>
      <c r="AE182" s="143">
        <v>50</v>
      </c>
      <c r="AF182" s="137">
        <v>50</v>
      </c>
      <c r="AG182" s="137">
        <v>50</v>
      </c>
      <c r="AH182" s="137">
        <v>50</v>
      </c>
      <c r="AI182" s="137">
        <v>50</v>
      </c>
      <c r="AJ182" s="221">
        <v>50</v>
      </c>
    </row>
    <row r="183" spans="1:37" s="47" customFormat="1" ht="15" customHeight="1" x14ac:dyDescent="0.3">
      <c r="A183" s="50" t="s">
        <v>4</v>
      </c>
      <c r="B183" s="44" t="s">
        <v>105</v>
      </c>
      <c r="C183" s="9" t="s">
        <v>71</v>
      </c>
      <c r="D183" s="523" t="s">
        <v>52</v>
      </c>
      <c r="E183" s="103">
        <f t="shared" si="48"/>
        <v>59.285714285714285</v>
      </c>
      <c r="F183" s="96">
        <f t="shared" si="49"/>
        <v>9.9489795918367321</v>
      </c>
      <c r="G183" s="96">
        <f t="shared" si="50"/>
        <v>50</v>
      </c>
      <c r="H183" s="379">
        <f t="shared" si="51"/>
        <v>70</v>
      </c>
      <c r="I183" s="142">
        <v>70</v>
      </c>
      <c r="J183" s="137">
        <v>70</v>
      </c>
      <c r="K183" s="137">
        <v>70</v>
      </c>
      <c r="L183" s="137">
        <v>70</v>
      </c>
      <c r="M183" s="137">
        <v>70</v>
      </c>
      <c r="N183" s="137">
        <v>70</v>
      </c>
      <c r="O183" s="137">
        <v>70</v>
      </c>
      <c r="P183" s="151">
        <v>70</v>
      </c>
      <c r="Q183" s="142">
        <v>70</v>
      </c>
      <c r="R183" s="137">
        <v>70</v>
      </c>
      <c r="S183" s="137">
        <v>70</v>
      </c>
      <c r="T183" s="137">
        <v>70</v>
      </c>
      <c r="U183" s="151">
        <v>70</v>
      </c>
      <c r="V183" s="142">
        <v>50</v>
      </c>
      <c r="W183" s="137">
        <v>50</v>
      </c>
      <c r="X183" s="137">
        <v>50</v>
      </c>
      <c r="Y183" s="137">
        <v>50</v>
      </c>
      <c r="Z183" s="137">
        <v>50</v>
      </c>
      <c r="AA183" s="137">
        <v>50</v>
      </c>
      <c r="AB183" s="137">
        <v>50</v>
      </c>
      <c r="AC183" s="137">
        <v>50</v>
      </c>
      <c r="AD183" s="221">
        <v>50</v>
      </c>
      <c r="AE183" s="143">
        <v>50</v>
      </c>
      <c r="AF183" s="137">
        <v>50</v>
      </c>
      <c r="AG183" s="137">
        <v>50</v>
      </c>
      <c r="AH183" s="137">
        <v>50</v>
      </c>
      <c r="AI183" s="137">
        <v>50</v>
      </c>
      <c r="AJ183" s="221">
        <v>50</v>
      </c>
    </row>
    <row r="184" spans="1:37" s="47" customFormat="1" ht="15" customHeight="1" x14ac:dyDescent="0.3">
      <c r="A184" s="50" t="s">
        <v>59</v>
      </c>
      <c r="B184" s="44" t="s">
        <v>26</v>
      </c>
      <c r="C184" s="9" t="s">
        <v>69</v>
      </c>
      <c r="D184" s="523" t="s">
        <v>52</v>
      </c>
      <c r="E184" s="101">
        <f t="shared" si="48"/>
        <v>8.2660714285714282E-2</v>
      </c>
      <c r="F184" s="97">
        <f t="shared" si="49"/>
        <v>4.0397959183673463E-2</v>
      </c>
      <c r="G184" s="97">
        <f t="shared" si="50"/>
        <v>3.3000000000000002E-2</v>
      </c>
      <c r="H184" s="377">
        <f t="shared" si="51"/>
        <v>0.17499999999999999</v>
      </c>
      <c r="I184" s="22">
        <v>0.06</v>
      </c>
      <c r="J184" s="21">
        <v>7.6999999999999999E-2</v>
      </c>
      <c r="K184" s="21">
        <v>9.4E-2</v>
      </c>
      <c r="L184" s="21">
        <v>0.114</v>
      </c>
      <c r="M184" s="21">
        <v>0.14299999999999999</v>
      </c>
      <c r="N184" s="21">
        <v>0.106</v>
      </c>
      <c r="O184" s="21">
        <v>0.154</v>
      </c>
      <c r="P184" s="254">
        <v>0.17499999999999999</v>
      </c>
      <c r="Q184" s="22">
        <v>3.3000000000000002E-2</v>
      </c>
      <c r="R184" s="21">
        <v>3.4000000000000002E-2</v>
      </c>
      <c r="S184" s="21">
        <v>3.5999999999999997E-2</v>
      </c>
      <c r="T184" s="21">
        <v>3.6999999999999998E-2</v>
      </c>
      <c r="U184" s="254">
        <v>5.3999999999999999E-2</v>
      </c>
      <c r="V184" s="22">
        <v>3.3000000000000002E-2</v>
      </c>
      <c r="W184" s="21">
        <v>3.4000000000000002E-2</v>
      </c>
      <c r="X184" s="21">
        <v>3.5999999999999997E-2</v>
      </c>
      <c r="Y184" s="21">
        <v>3.6999999999999998E-2</v>
      </c>
      <c r="Z184" s="21">
        <v>3.9E-2</v>
      </c>
      <c r="AA184" s="21">
        <v>5.0999999999999997E-2</v>
      </c>
      <c r="AB184" s="21">
        <v>5.8000000000000003E-2</v>
      </c>
      <c r="AC184" s="21">
        <v>6.4000000000000001E-2</v>
      </c>
      <c r="AD184" s="23">
        <v>7.3999999999999996E-2</v>
      </c>
      <c r="AE184" s="754">
        <v>9.1499999999999998E-2</v>
      </c>
      <c r="AF184" s="21">
        <v>0.112</v>
      </c>
      <c r="AG184" s="21">
        <v>0.106</v>
      </c>
      <c r="AH184" s="21">
        <v>0.13300000000000001</v>
      </c>
      <c r="AI184" s="21">
        <v>0.154</v>
      </c>
      <c r="AJ184" s="23">
        <v>0.17499999999999999</v>
      </c>
    </row>
    <row r="185" spans="1:37" s="47" customFormat="1" ht="15" customHeight="1" x14ac:dyDescent="0.3">
      <c r="A185" s="50" t="s">
        <v>51</v>
      </c>
      <c r="B185" s="44" t="s">
        <v>27</v>
      </c>
      <c r="C185" s="9" t="s">
        <v>69</v>
      </c>
      <c r="D185" s="523" t="s">
        <v>52</v>
      </c>
      <c r="E185" s="101">
        <f t="shared" si="48"/>
        <v>3.3839285714285725E-2</v>
      </c>
      <c r="F185" s="97">
        <f t="shared" si="49"/>
        <v>1.3125000000000001E-2</v>
      </c>
      <c r="G185" s="97">
        <f t="shared" si="50"/>
        <v>1.4999999999999999E-2</v>
      </c>
      <c r="H185" s="377">
        <f t="shared" si="51"/>
        <v>6.5000000000000002E-2</v>
      </c>
      <c r="I185" s="139">
        <v>2.5000000000000001E-2</v>
      </c>
      <c r="J185" s="140">
        <v>0.03</v>
      </c>
      <c r="K185" s="140">
        <v>3.4000000000000002E-2</v>
      </c>
      <c r="L185" s="140">
        <v>3.3000000000000002E-2</v>
      </c>
      <c r="M185" s="140">
        <v>4.3999999999999997E-2</v>
      </c>
      <c r="N185" s="140">
        <v>4.1000000000000002E-2</v>
      </c>
      <c r="O185" s="140">
        <v>5.8999999999999997E-2</v>
      </c>
      <c r="P185" s="150">
        <v>6.5000000000000002E-2</v>
      </c>
      <c r="Q185" s="139">
        <v>1.4999999999999999E-2</v>
      </c>
      <c r="R185" s="140">
        <v>1.6E-2</v>
      </c>
      <c r="S185" s="140">
        <v>1.7000000000000001E-2</v>
      </c>
      <c r="T185" s="140">
        <v>1.7999999999999999E-2</v>
      </c>
      <c r="U185" s="150">
        <v>1.9E-2</v>
      </c>
      <c r="V185" s="22">
        <v>1.4999999999999999E-2</v>
      </c>
      <c r="W185" s="21">
        <v>1.6E-2</v>
      </c>
      <c r="X185" s="21">
        <v>1.7000000000000001E-2</v>
      </c>
      <c r="Y185" s="21">
        <v>1.7999999999999999E-2</v>
      </c>
      <c r="Z185" s="21">
        <v>1.9E-2</v>
      </c>
      <c r="AA185" s="140">
        <v>3.2000000000000001E-2</v>
      </c>
      <c r="AB185" s="140">
        <v>3.5999999999999997E-2</v>
      </c>
      <c r="AC185" s="140">
        <v>4.1000000000000002E-2</v>
      </c>
      <c r="AD185" s="224">
        <v>4.5999999999999999E-2</v>
      </c>
      <c r="AE185" s="141">
        <v>3.4500000000000003E-2</v>
      </c>
      <c r="AF185" s="140">
        <v>4.1000000000000002E-2</v>
      </c>
      <c r="AG185" s="140">
        <v>4.1000000000000002E-2</v>
      </c>
      <c r="AH185" s="140">
        <v>5.0999999999999997E-2</v>
      </c>
      <c r="AI185" s="140">
        <v>5.8999999999999997E-2</v>
      </c>
      <c r="AJ185" s="224">
        <v>6.5000000000000002E-2</v>
      </c>
    </row>
    <row r="186" spans="1:37" s="47" customFormat="1" ht="15" customHeight="1" x14ac:dyDescent="0.3">
      <c r="A186" s="52" t="s">
        <v>60</v>
      </c>
      <c r="B186" s="59" t="s">
        <v>28</v>
      </c>
      <c r="C186" s="9" t="s">
        <v>69</v>
      </c>
      <c r="D186" s="523" t="s">
        <v>52</v>
      </c>
      <c r="E186" s="101">
        <f t="shared" si="48"/>
        <v>7.4071428571428604E-3</v>
      </c>
      <c r="F186" s="97">
        <f t="shared" si="49"/>
        <v>4.0714285714285684E-4</v>
      </c>
      <c r="G186" s="97">
        <f t="shared" si="50"/>
        <v>7.0000000000000001E-3</v>
      </c>
      <c r="H186" s="377">
        <f t="shared" si="51"/>
        <v>8.0000000000000002E-3</v>
      </c>
      <c r="I186" s="139">
        <v>7.7999999999999996E-3</v>
      </c>
      <c r="J186" s="140">
        <v>7.7999999999999996E-3</v>
      </c>
      <c r="K186" s="140">
        <v>7.7999999999999996E-3</v>
      </c>
      <c r="L186" s="140">
        <v>7.7999999999999996E-3</v>
      </c>
      <c r="M186" s="140">
        <v>7.7999999999999996E-3</v>
      </c>
      <c r="N186" s="140">
        <v>7.7999999999999996E-3</v>
      </c>
      <c r="O186" s="140">
        <v>7.7999999999999996E-3</v>
      </c>
      <c r="P186" s="150">
        <v>7.7999999999999996E-3</v>
      </c>
      <c r="Q186" s="139">
        <v>7.0000000000000001E-3</v>
      </c>
      <c r="R186" s="140">
        <v>7.0000000000000001E-3</v>
      </c>
      <c r="S186" s="140">
        <v>7.0000000000000001E-3</v>
      </c>
      <c r="T186" s="140">
        <v>7.0000000000000001E-3</v>
      </c>
      <c r="U186" s="150">
        <v>7.0000000000000001E-3</v>
      </c>
      <c r="V186" s="16">
        <v>7.0000000000000001E-3</v>
      </c>
      <c r="W186" s="17">
        <v>7.0000000000000001E-3</v>
      </c>
      <c r="X186" s="17">
        <v>7.0000000000000001E-3</v>
      </c>
      <c r="Y186" s="17">
        <v>7.0000000000000001E-3</v>
      </c>
      <c r="Z186" s="17">
        <v>7.0000000000000001E-3</v>
      </c>
      <c r="AA186" s="140">
        <v>7.0000000000000001E-3</v>
      </c>
      <c r="AB186" s="140">
        <v>7.0000000000000001E-3</v>
      </c>
      <c r="AC186" s="140">
        <v>7.0000000000000001E-3</v>
      </c>
      <c r="AD186" s="224">
        <v>7.0000000000000001E-3</v>
      </c>
      <c r="AE186" s="141">
        <v>7.7999999999999996E-3</v>
      </c>
      <c r="AF186" s="140">
        <v>7.7999999999999996E-3</v>
      </c>
      <c r="AG186" s="140">
        <v>7.7999999999999996E-3</v>
      </c>
      <c r="AH186" s="140">
        <v>8.0000000000000002E-3</v>
      </c>
      <c r="AI186" s="140">
        <v>7.7999999999999996E-3</v>
      </c>
      <c r="AJ186" s="224">
        <v>7.7999999999999996E-3</v>
      </c>
    </row>
    <row r="187" spans="1:37" s="47" customFormat="1" ht="15" customHeight="1" x14ac:dyDescent="0.3">
      <c r="A187" s="50" t="s">
        <v>17</v>
      </c>
      <c r="B187" s="44" t="s">
        <v>101</v>
      </c>
      <c r="C187" s="9" t="s">
        <v>70</v>
      </c>
      <c r="D187" s="523" t="s">
        <v>52</v>
      </c>
      <c r="E187" s="101">
        <f t="shared" si="48"/>
        <v>0.99417857142857124</v>
      </c>
      <c r="F187" s="97">
        <f t="shared" si="49"/>
        <v>4.6094387755102044E-2</v>
      </c>
      <c r="G187" s="97">
        <f t="shared" si="50"/>
        <v>0.91400000000000003</v>
      </c>
      <c r="H187" s="377">
        <f t="shared" si="51"/>
        <v>1.073</v>
      </c>
      <c r="I187" s="22">
        <v>0.92500000000000004</v>
      </c>
      <c r="J187" s="21">
        <v>0.94699999999999995</v>
      </c>
      <c r="K187" s="21">
        <v>0.92400000000000004</v>
      </c>
      <c r="L187" s="21">
        <v>0.91900000000000004</v>
      </c>
      <c r="M187" s="21">
        <v>0.91400000000000003</v>
      </c>
      <c r="N187" s="21">
        <v>0.91700000000000004</v>
      </c>
      <c r="O187" s="21">
        <v>0.92500000000000004</v>
      </c>
      <c r="P187" s="254">
        <v>0.93</v>
      </c>
      <c r="Q187" s="22">
        <v>0.97599999999999998</v>
      </c>
      <c r="R187" s="21">
        <v>0.97599999999999998</v>
      </c>
      <c r="S187" s="21">
        <v>0.97599999999999998</v>
      </c>
      <c r="T187" s="21">
        <v>0.97499999999999998</v>
      </c>
      <c r="U187" s="254">
        <v>0.97499999999999998</v>
      </c>
      <c r="V187" s="22">
        <v>1.0549999999999999</v>
      </c>
      <c r="W187" s="21">
        <v>1.06</v>
      </c>
      <c r="X187" s="21">
        <v>1.0640000000000001</v>
      </c>
      <c r="Y187" s="21">
        <v>1.069</v>
      </c>
      <c r="Z187" s="21">
        <v>1.073</v>
      </c>
      <c r="AA187" s="21">
        <v>1.0249999999999999</v>
      </c>
      <c r="AB187" s="21">
        <v>1.022</v>
      </c>
      <c r="AC187" s="21">
        <v>1.0189999999999999</v>
      </c>
      <c r="AD187" s="23">
        <v>1.0149999999999999</v>
      </c>
      <c r="AE187" s="754">
        <v>1.02</v>
      </c>
      <c r="AF187" s="21">
        <v>1.028</v>
      </c>
      <c r="AG187" s="21">
        <v>1.0269999999999999</v>
      </c>
      <c r="AH187" s="21">
        <v>1.0269999999999999</v>
      </c>
      <c r="AI187" s="21">
        <v>1.0269999999999999</v>
      </c>
      <c r="AJ187" s="23">
        <v>1.0269999999999999</v>
      </c>
    </row>
    <row r="188" spans="1:37" s="47" customFormat="1" ht="15" customHeight="1" thickBot="1" x14ac:dyDescent="0.35">
      <c r="A188" s="54" t="s">
        <v>18</v>
      </c>
      <c r="B188" s="61" t="s">
        <v>102</v>
      </c>
      <c r="C188" s="10" t="s">
        <v>70</v>
      </c>
      <c r="D188" s="524" t="s">
        <v>52</v>
      </c>
      <c r="E188" s="104">
        <f t="shared" si="48"/>
        <v>0.98364285714285693</v>
      </c>
      <c r="F188" s="105">
        <f t="shared" si="49"/>
        <v>4.4525510204081624E-2</v>
      </c>
      <c r="G188" s="105">
        <f t="shared" si="50"/>
        <v>0.91</v>
      </c>
      <c r="H188" s="380">
        <f t="shared" si="51"/>
        <v>1.044</v>
      </c>
      <c r="I188" s="20">
        <v>0.92100000000000004</v>
      </c>
      <c r="J188" s="11">
        <v>0.94599999999999995</v>
      </c>
      <c r="K188" s="11">
        <v>0.91</v>
      </c>
      <c r="L188" s="11">
        <v>0.91100000000000003</v>
      </c>
      <c r="M188" s="11">
        <v>0.91200000000000003</v>
      </c>
      <c r="N188" s="11">
        <v>0.91</v>
      </c>
      <c r="O188" s="11">
        <v>0.91100000000000003</v>
      </c>
      <c r="P188" s="30">
        <v>0.91100000000000003</v>
      </c>
      <c r="Q188" s="20">
        <v>0.96799999999999997</v>
      </c>
      <c r="R188" s="11">
        <v>0.96799999999999997</v>
      </c>
      <c r="S188" s="11">
        <v>0.96799999999999997</v>
      </c>
      <c r="T188" s="11">
        <v>0.96599999999999997</v>
      </c>
      <c r="U188" s="30">
        <v>0.96199999999999997</v>
      </c>
      <c r="V188" s="259">
        <v>1.034</v>
      </c>
      <c r="W188" s="258">
        <v>1.0369999999999999</v>
      </c>
      <c r="X188" s="258">
        <v>1.0389999999999999</v>
      </c>
      <c r="Y188" s="258">
        <v>1.042</v>
      </c>
      <c r="Z188" s="258">
        <v>1.044</v>
      </c>
      <c r="AA188" s="11">
        <v>1.0169999999999999</v>
      </c>
      <c r="AB188" s="11">
        <v>1.018</v>
      </c>
      <c r="AC188" s="11">
        <v>1.018</v>
      </c>
      <c r="AD188" s="12">
        <v>1.0189999999999999</v>
      </c>
      <c r="AE188" s="108">
        <v>1.0049999999999999</v>
      </c>
      <c r="AF188" s="11">
        <v>1.0229999999999999</v>
      </c>
      <c r="AG188" s="11">
        <v>1.022</v>
      </c>
      <c r="AH188" s="11">
        <v>1.0209999999999999</v>
      </c>
      <c r="AI188" s="11">
        <v>1.02</v>
      </c>
      <c r="AJ188" s="12">
        <v>1.0189999999999999</v>
      </c>
    </row>
    <row r="189" spans="1:37" s="7" customFormat="1" ht="25.05" customHeight="1" thickBot="1" x14ac:dyDescent="0.35">
      <c r="A189" s="470"/>
      <c r="B189" s="470"/>
      <c r="C189" s="471"/>
      <c r="D189" s="471"/>
      <c r="E189" s="471"/>
      <c r="F189" s="471"/>
      <c r="G189" s="471"/>
      <c r="H189" s="471"/>
      <c r="I189" s="471"/>
      <c r="J189" s="471"/>
      <c r="K189" s="471"/>
      <c r="L189" s="471"/>
      <c r="M189" s="471"/>
      <c r="N189" s="471"/>
      <c r="O189" s="471"/>
      <c r="P189" s="471"/>
      <c r="Q189" s="471"/>
      <c r="R189" s="471"/>
      <c r="S189" s="471"/>
      <c r="T189" s="471"/>
      <c r="U189" s="471"/>
      <c r="V189" s="471"/>
      <c r="W189" s="471"/>
      <c r="X189" s="471"/>
      <c r="Y189" s="471"/>
      <c r="Z189" s="471"/>
      <c r="AA189" s="471"/>
      <c r="AB189" s="471"/>
      <c r="AC189" s="471"/>
      <c r="AD189" s="471"/>
    </row>
    <row r="190" spans="1:37" s="55" customFormat="1" ht="15" customHeight="1" thickBot="1" x14ac:dyDescent="0.35">
      <c r="A190" s="325" t="s">
        <v>224</v>
      </c>
      <c r="B190" s="116"/>
      <c r="C190" s="116"/>
      <c r="D190" s="375" t="s">
        <v>180</v>
      </c>
      <c r="E190" s="1013" t="s">
        <v>180</v>
      </c>
      <c r="F190" s="1014"/>
      <c r="G190" s="1014"/>
      <c r="H190" s="1015"/>
      <c r="I190" s="864" t="s">
        <v>180</v>
      </c>
      <c r="J190" s="865"/>
      <c r="K190" s="865"/>
      <c r="L190" s="865"/>
      <c r="M190" s="865"/>
      <c r="N190" s="865"/>
      <c r="O190" s="865"/>
      <c r="P190" s="866"/>
      <c r="Q190" s="864" t="s">
        <v>180</v>
      </c>
      <c r="R190" s="865"/>
      <c r="S190" s="865"/>
      <c r="T190" s="865"/>
      <c r="U190" s="865"/>
      <c r="V190" s="865"/>
      <c r="W190" s="865"/>
      <c r="X190" s="866"/>
      <c r="Y190" s="864" t="s">
        <v>180</v>
      </c>
      <c r="Z190" s="865"/>
      <c r="AA190" s="865"/>
      <c r="AB190" s="865"/>
      <c r="AC190" s="865"/>
      <c r="AD190" s="866"/>
    </row>
    <row r="191" spans="1:37" s="47" customFormat="1" ht="40.049999999999997" customHeight="1" thickBot="1" x14ac:dyDescent="0.35">
      <c r="A191" s="1025">
        <f>COUNTA(I191:CA191)</f>
        <v>22</v>
      </c>
      <c r="B191" s="1025"/>
      <c r="C191" s="1026"/>
      <c r="D191" s="262" t="s">
        <v>0</v>
      </c>
      <c r="E191" s="110" t="s">
        <v>31</v>
      </c>
      <c r="F191" s="573" t="s">
        <v>512</v>
      </c>
      <c r="G191" s="111" t="s">
        <v>57</v>
      </c>
      <c r="H191" s="112" t="s">
        <v>58</v>
      </c>
      <c r="I191" s="251" t="s">
        <v>202</v>
      </c>
      <c r="J191" s="251" t="s">
        <v>203</v>
      </c>
      <c r="K191" s="251" t="s">
        <v>204</v>
      </c>
      <c r="L191" s="251" t="s">
        <v>205</v>
      </c>
      <c r="M191" s="251" t="s">
        <v>206</v>
      </c>
      <c r="N191" s="251" t="s">
        <v>207</v>
      </c>
      <c r="O191" s="251" t="s">
        <v>208</v>
      </c>
      <c r="P191" s="41" t="s">
        <v>209</v>
      </c>
      <c r="Q191" s="251" t="s">
        <v>210</v>
      </c>
      <c r="R191" s="251" t="s">
        <v>211</v>
      </c>
      <c r="S191" s="251" t="s">
        <v>212</v>
      </c>
      <c r="T191" s="251" t="s">
        <v>213</v>
      </c>
      <c r="U191" s="251" t="s">
        <v>214</v>
      </c>
      <c r="V191" s="251" t="s">
        <v>215</v>
      </c>
      <c r="W191" s="251" t="s">
        <v>216</v>
      </c>
      <c r="X191" s="256" t="s">
        <v>217</v>
      </c>
      <c r="Y191" s="136" t="s">
        <v>218</v>
      </c>
      <c r="Z191" s="252" t="s">
        <v>219</v>
      </c>
      <c r="AA191" s="252" t="s">
        <v>220</v>
      </c>
      <c r="AB191" s="252" t="s">
        <v>221</v>
      </c>
      <c r="AC191" s="252" t="s">
        <v>222</v>
      </c>
      <c r="AD191" s="253" t="s">
        <v>223</v>
      </c>
    </row>
    <row r="192" spans="1:37" s="47" customFormat="1" ht="15" customHeight="1" thickBot="1" x14ac:dyDescent="0.35">
      <c r="A192" s="1027"/>
      <c r="B192" s="1027"/>
      <c r="C192" s="1028"/>
      <c r="D192" s="36" t="s">
        <v>33</v>
      </c>
      <c r="E192" s="971" t="s">
        <v>513</v>
      </c>
      <c r="F192" s="972"/>
      <c r="G192" s="972"/>
      <c r="H192" s="973"/>
      <c r="I192" s="947" t="s">
        <v>29</v>
      </c>
      <c r="J192" s="948"/>
      <c r="K192" s="948"/>
      <c r="L192" s="948"/>
      <c r="M192" s="948"/>
      <c r="N192" s="948"/>
      <c r="O192" s="948"/>
      <c r="P192" s="1045"/>
      <c r="Q192" s="947" t="s">
        <v>29</v>
      </c>
      <c r="R192" s="948"/>
      <c r="S192" s="948"/>
      <c r="T192" s="948"/>
      <c r="U192" s="948"/>
      <c r="V192" s="948"/>
      <c r="W192" s="948"/>
      <c r="X192" s="1045"/>
      <c r="Y192" s="947" t="s">
        <v>29</v>
      </c>
      <c r="Z192" s="948"/>
      <c r="AA192" s="948"/>
      <c r="AB192" s="948"/>
      <c r="AC192" s="948"/>
      <c r="AD192" s="1045"/>
    </row>
    <row r="193" spans="1:30" s="47" customFormat="1" ht="15" customHeight="1" thickBot="1" x14ac:dyDescent="0.35">
      <c r="A193" s="57" t="s">
        <v>54</v>
      </c>
      <c r="B193" s="58" t="s">
        <v>55</v>
      </c>
      <c r="C193" s="62" t="s">
        <v>1</v>
      </c>
      <c r="D193" s="56" t="s">
        <v>32</v>
      </c>
      <c r="E193" s="971"/>
      <c r="F193" s="972"/>
      <c r="G193" s="972"/>
      <c r="H193" s="973"/>
      <c r="I193" s="949"/>
      <c r="J193" s="950"/>
      <c r="K193" s="950"/>
      <c r="L193" s="950"/>
      <c r="M193" s="950"/>
      <c r="N193" s="950"/>
      <c r="O193" s="950"/>
      <c r="P193" s="1046"/>
      <c r="Q193" s="1048"/>
      <c r="R193" s="1049"/>
      <c r="S193" s="1049"/>
      <c r="T193" s="1049"/>
      <c r="U193" s="1049"/>
      <c r="V193" s="1049"/>
      <c r="W193" s="1049"/>
      <c r="X193" s="1050"/>
      <c r="Y193" s="949"/>
      <c r="Z193" s="950"/>
      <c r="AA193" s="950"/>
      <c r="AB193" s="950"/>
      <c r="AC193" s="950"/>
      <c r="AD193" s="1046"/>
    </row>
    <row r="194" spans="1:30" s="47" customFormat="1" ht="15" customHeight="1" x14ac:dyDescent="0.3">
      <c r="A194" s="46" t="s">
        <v>5</v>
      </c>
      <c r="B194" s="60" t="s">
        <v>21</v>
      </c>
      <c r="C194" s="8" t="s">
        <v>69</v>
      </c>
      <c r="D194" s="522" t="s">
        <v>52</v>
      </c>
      <c r="E194" s="99">
        <f t="shared" ref="E194:E203" si="52">AVERAGE(I194:BY194)</f>
        <v>34.386363636363633</v>
      </c>
      <c r="F194" s="100">
        <f t="shared" ref="F194:F203" si="53">AVEDEV(I194:BY194)</f>
        <v>16.756611570247934</v>
      </c>
      <c r="G194" s="100">
        <f t="shared" ref="G194:G203" si="54">MIN(I194:BY194)</f>
        <v>6.6</v>
      </c>
      <c r="H194" s="376">
        <f t="shared" ref="H194:H203" si="55">MAX(I194:BY194)</f>
        <v>120.6</v>
      </c>
      <c r="I194" s="31">
        <v>14.9</v>
      </c>
      <c r="J194" s="32">
        <v>22</v>
      </c>
      <c r="K194" s="32">
        <v>25</v>
      </c>
      <c r="L194" s="32">
        <v>31</v>
      </c>
      <c r="M194" s="32">
        <v>35</v>
      </c>
      <c r="N194" s="32">
        <v>42</v>
      </c>
      <c r="O194" s="32">
        <v>49</v>
      </c>
      <c r="P194" s="33">
        <v>60</v>
      </c>
      <c r="Q194" s="448">
        <v>6.6</v>
      </c>
      <c r="R194" s="449">
        <v>9</v>
      </c>
      <c r="S194" s="449">
        <v>12</v>
      </c>
      <c r="T194" s="449">
        <v>15</v>
      </c>
      <c r="U194" s="449">
        <v>20</v>
      </c>
      <c r="V194" s="449">
        <v>25</v>
      </c>
      <c r="W194" s="449">
        <v>30</v>
      </c>
      <c r="X194" s="450">
        <v>32</v>
      </c>
      <c r="Y194" s="448">
        <v>20.2</v>
      </c>
      <c r="Z194" s="449">
        <v>35</v>
      </c>
      <c r="AA194" s="449">
        <v>40.6</v>
      </c>
      <c r="AB194" s="449">
        <v>49</v>
      </c>
      <c r="AC194" s="449">
        <v>62.6</v>
      </c>
      <c r="AD194" s="450">
        <v>120.6</v>
      </c>
    </row>
    <row r="195" spans="1:30" s="47" customFormat="1" ht="15" customHeight="1" x14ac:dyDescent="0.3">
      <c r="A195" s="50" t="s">
        <v>6</v>
      </c>
      <c r="B195" s="44" t="s">
        <v>22</v>
      </c>
      <c r="C195" s="9" t="s">
        <v>70</v>
      </c>
      <c r="D195" s="523" t="s">
        <v>52</v>
      </c>
      <c r="E195" s="101">
        <f t="shared" si="52"/>
        <v>1.5500000000000003E-2</v>
      </c>
      <c r="F195" s="97">
        <f t="shared" si="53"/>
        <v>1.5454545454545458E-3</v>
      </c>
      <c r="G195" s="97">
        <f t="shared" si="54"/>
        <v>1.2E-2</v>
      </c>
      <c r="H195" s="377">
        <f t="shared" si="55"/>
        <v>2.1000000000000001E-2</v>
      </c>
      <c r="I195" s="139">
        <v>1.7000000000000001E-2</v>
      </c>
      <c r="J195" s="140">
        <v>1.6E-2</v>
      </c>
      <c r="K195" s="140">
        <v>1.6E-2</v>
      </c>
      <c r="L195" s="140">
        <v>1.4999999999999999E-2</v>
      </c>
      <c r="M195" s="140">
        <v>1.4999999999999999E-2</v>
      </c>
      <c r="N195" s="140">
        <v>1.4E-2</v>
      </c>
      <c r="O195" s="140">
        <v>1.4E-2</v>
      </c>
      <c r="P195" s="150">
        <v>1.2999999999999999E-2</v>
      </c>
      <c r="Q195" s="491">
        <v>2.1000000000000001E-2</v>
      </c>
      <c r="R195" s="492">
        <v>1.9E-2</v>
      </c>
      <c r="S195" s="492">
        <v>1.7999999999999999E-2</v>
      </c>
      <c r="T195" s="492">
        <v>1.7000000000000001E-2</v>
      </c>
      <c r="U195" s="492">
        <v>1.6E-2</v>
      </c>
      <c r="V195" s="492">
        <v>1.6E-2</v>
      </c>
      <c r="W195" s="492">
        <v>1.4999999999999999E-2</v>
      </c>
      <c r="X195" s="493">
        <v>1.4999999999999999E-2</v>
      </c>
      <c r="Y195" s="491">
        <v>1.6E-2</v>
      </c>
      <c r="Z195" s="492">
        <v>1.4999999999999999E-2</v>
      </c>
      <c r="AA195" s="492">
        <v>1.4E-2</v>
      </c>
      <c r="AB195" s="492">
        <v>1.4E-2</v>
      </c>
      <c r="AC195" s="492">
        <v>1.2999999999999999E-2</v>
      </c>
      <c r="AD195" s="493">
        <v>1.2E-2</v>
      </c>
    </row>
    <row r="196" spans="1:30" s="47" customFormat="1" ht="15" customHeight="1" x14ac:dyDescent="0.3">
      <c r="A196" s="50" t="s">
        <v>64</v>
      </c>
      <c r="B196" s="59" t="s">
        <v>152</v>
      </c>
      <c r="C196" s="9" t="s">
        <v>70</v>
      </c>
      <c r="D196" s="523" t="s">
        <v>61</v>
      </c>
      <c r="E196" s="102">
        <f t="shared" si="52"/>
        <v>0.29999999999999988</v>
      </c>
      <c r="F196" s="98">
        <f t="shared" si="53"/>
        <v>1.1102230246251565E-16</v>
      </c>
      <c r="G196" s="98">
        <f t="shared" si="54"/>
        <v>0.3</v>
      </c>
      <c r="H196" s="378">
        <f t="shared" si="55"/>
        <v>0.3</v>
      </c>
      <c r="I196" s="249">
        <v>0.3</v>
      </c>
      <c r="J196" s="222">
        <v>0.3</v>
      </c>
      <c r="K196" s="222">
        <v>0.3</v>
      </c>
      <c r="L196" s="222">
        <v>0.3</v>
      </c>
      <c r="M196" s="222">
        <v>0.3</v>
      </c>
      <c r="N196" s="222">
        <v>0.3</v>
      </c>
      <c r="O196" s="222">
        <v>0.3</v>
      </c>
      <c r="P196" s="255">
        <v>0.3</v>
      </c>
      <c r="Q196" s="491">
        <v>0.3</v>
      </c>
      <c r="R196" s="492">
        <v>0.3</v>
      </c>
      <c r="S196" s="492">
        <v>0.3</v>
      </c>
      <c r="T196" s="492">
        <v>0.3</v>
      </c>
      <c r="U196" s="492">
        <v>0.3</v>
      </c>
      <c r="V196" s="492">
        <v>0.3</v>
      </c>
      <c r="W196" s="492">
        <v>0.3</v>
      </c>
      <c r="X196" s="493">
        <v>0.3</v>
      </c>
      <c r="Y196" s="491">
        <v>0.3</v>
      </c>
      <c r="Z196" s="492">
        <v>0.3</v>
      </c>
      <c r="AA196" s="492">
        <v>0.3</v>
      </c>
      <c r="AB196" s="492">
        <v>0.3</v>
      </c>
      <c r="AC196" s="492">
        <v>0.3</v>
      </c>
      <c r="AD196" s="493">
        <v>0.3</v>
      </c>
    </row>
    <row r="197" spans="1:30" s="47" customFormat="1" ht="15" customHeight="1" x14ac:dyDescent="0.3">
      <c r="A197" s="50" t="s">
        <v>3</v>
      </c>
      <c r="B197" s="44" t="s">
        <v>153</v>
      </c>
      <c r="C197" s="9" t="s">
        <v>71</v>
      </c>
      <c r="D197" s="523" t="s">
        <v>52</v>
      </c>
      <c r="E197" s="103">
        <f t="shared" si="52"/>
        <v>72.546153846153842</v>
      </c>
      <c r="F197" s="96">
        <f t="shared" si="53"/>
        <v>0.68875739644970335</v>
      </c>
      <c r="G197" s="96">
        <f t="shared" si="54"/>
        <v>71.5</v>
      </c>
      <c r="H197" s="379">
        <f t="shared" si="55"/>
        <v>73.7</v>
      </c>
      <c r="I197" s="142"/>
      <c r="J197" s="137">
        <v>71.900000000000006</v>
      </c>
      <c r="K197" s="137">
        <v>72</v>
      </c>
      <c r="L197" s="137">
        <v>73.3</v>
      </c>
      <c r="M197" s="137">
        <v>73.3</v>
      </c>
      <c r="N197" s="137">
        <v>71.5</v>
      </c>
      <c r="O197" s="137">
        <v>71.5</v>
      </c>
      <c r="P197" s="151">
        <v>71.5</v>
      </c>
      <c r="Q197" s="491">
        <v>73</v>
      </c>
      <c r="R197" s="492"/>
      <c r="S197" s="492">
        <v>73</v>
      </c>
      <c r="T197" s="492"/>
      <c r="U197" s="492"/>
      <c r="V197" s="492"/>
      <c r="W197" s="492"/>
      <c r="X197" s="493"/>
      <c r="Y197" s="491">
        <v>73.3</v>
      </c>
      <c r="Z197" s="492"/>
      <c r="AA197" s="492">
        <v>72.7</v>
      </c>
      <c r="AB197" s="492"/>
      <c r="AC197" s="492">
        <v>72.400000000000006</v>
      </c>
      <c r="AD197" s="493">
        <v>73.7</v>
      </c>
    </row>
    <row r="198" spans="1:30" s="47" customFormat="1" ht="15" customHeight="1" x14ac:dyDescent="0.3">
      <c r="A198" s="50" t="s">
        <v>4</v>
      </c>
      <c r="B198" s="44" t="s">
        <v>105</v>
      </c>
      <c r="C198" s="9" t="s">
        <v>71</v>
      </c>
      <c r="D198" s="523" t="s">
        <v>52</v>
      </c>
      <c r="E198" s="103">
        <f t="shared" si="52"/>
        <v>72.15384615384616</v>
      </c>
      <c r="F198" s="96">
        <f t="shared" si="53"/>
        <v>0.76568047337278244</v>
      </c>
      <c r="G198" s="96">
        <f t="shared" si="54"/>
        <v>71.099999999999994</v>
      </c>
      <c r="H198" s="379">
        <f t="shared" si="55"/>
        <v>73</v>
      </c>
      <c r="I198" s="142"/>
      <c r="J198" s="137">
        <v>72.900000000000006</v>
      </c>
      <c r="K198" s="137">
        <v>71.099999999999994</v>
      </c>
      <c r="L198" s="137">
        <v>71.099999999999994</v>
      </c>
      <c r="M198" s="137">
        <v>71.099999999999994</v>
      </c>
      <c r="N198" s="137">
        <v>73</v>
      </c>
      <c r="O198" s="137">
        <v>73</v>
      </c>
      <c r="P198" s="151">
        <v>73</v>
      </c>
      <c r="Q198" s="491">
        <v>73</v>
      </c>
      <c r="R198" s="492"/>
      <c r="S198" s="492">
        <v>73</v>
      </c>
      <c r="T198" s="492"/>
      <c r="U198" s="492"/>
      <c r="V198" s="492"/>
      <c r="W198" s="492"/>
      <c r="X198" s="493"/>
      <c r="Y198" s="491">
        <v>71.900000000000006</v>
      </c>
      <c r="Z198" s="492"/>
      <c r="AA198" s="492">
        <v>71.5</v>
      </c>
      <c r="AB198" s="492"/>
      <c r="AC198" s="492">
        <v>71.5</v>
      </c>
      <c r="AD198" s="493">
        <v>71.900000000000006</v>
      </c>
    </row>
    <row r="199" spans="1:30" s="47" customFormat="1" ht="15" customHeight="1" x14ac:dyDescent="0.3">
      <c r="A199" s="50" t="s">
        <v>59</v>
      </c>
      <c r="B199" s="44" t="s">
        <v>26</v>
      </c>
      <c r="C199" s="9" t="s">
        <v>69</v>
      </c>
      <c r="D199" s="523" t="s">
        <v>52</v>
      </c>
      <c r="E199" s="101">
        <f t="shared" si="52"/>
        <v>9.3890909090909108E-2</v>
      </c>
      <c r="F199" s="97">
        <f t="shared" si="53"/>
        <v>6.3160330578512391E-2</v>
      </c>
      <c r="G199" s="97">
        <f t="shared" si="54"/>
        <v>2.9000000000000001E-2</v>
      </c>
      <c r="H199" s="377">
        <f t="shared" si="55"/>
        <v>0.47</v>
      </c>
      <c r="I199" s="22">
        <f>0.07</f>
        <v>7.0000000000000007E-2</v>
      </c>
      <c r="J199" s="21">
        <v>4.7E-2</v>
      </c>
      <c r="K199" s="21">
        <v>4.1000000000000002E-2</v>
      </c>
      <c r="L199" s="21">
        <v>5.3999999999999999E-2</v>
      </c>
      <c r="M199" s="21">
        <v>5.3999999999999999E-2</v>
      </c>
      <c r="N199" s="21">
        <v>5.8999999999999997E-2</v>
      </c>
      <c r="O199" s="21">
        <v>5.96E-2</v>
      </c>
      <c r="P199" s="254">
        <v>6.4000000000000001E-2</v>
      </c>
      <c r="Q199" s="491">
        <v>2.9000000000000001E-2</v>
      </c>
      <c r="R199" s="492">
        <v>3.1E-2</v>
      </c>
      <c r="S199" s="492">
        <v>3.5000000000000003E-2</v>
      </c>
      <c r="T199" s="492">
        <v>3.7999999999999999E-2</v>
      </c>
      <c r="U199" s="492">
        <v>4.1000000000000002E-2</v>
      </c>
      <c r="V199" s="492">
        <v>4.3999999999999997E-2</v>
      </c>
      <c r="W199" s="492">
        <v>0.47</v>
      </c>
      <c r="X199" s="493">
        <v>4.7E-2</v>
      </c>
      <c r="Y199" s="491">
        <v>0.121</v>
      </c>
      <c r="Z199" s="492">
        <v>0.11600000000000001</v>
      </c>
      <c r="AA199" s="492">
        <v>0.114</v>
      </c>
      <c r="AB199" s="492">
        <v>0.153</v>
      </c>
      <c r="AC199" s="492">
        <v>0.192</v>
      </c>
      <c r="AD199" s="493">
        <v>0.186</v>
      </c>
    </row>
    <row r="200" spans="1:30" s="47" customFormat="1" ht="15" customHeight="1" x14ac:dyDescent="0.3">
      <c r="A200" s="50" t="s">
        <v>51</v>
      </c>
      <c r="B200" s="44" t="s">
        <v>27</v>
      </c>
      <c r="C200" s="9" t="s">
        <v>69</v>
      </c>
      <c r="D200" s="523" t="s">
        <v>52</v>
      </c>
      <c r="E200" s="101">
        <f t="shared" si="52"/>
        <v>3.5727272727272739E-2</v>
      </c>
      <c r="F200" s="97">
        <f t="shared" si="53"/>
        <v>7.4297520661157027E-3</v>
      </c>
      <c r="G200" s="97">
        <f t="shared" si="54"/>
        <v>2.7E-2</v>
      </c>
      <c r="H200" s="377">
        <f t="shared" si="55"/>
        <v>5.8999999999999997E-2</v>
      </c>
      <c r="I200" s="139">
        <v>4.2000000000000003E-2</v>
      </c>
      <c r="J200" s="140">
        <v>2.7E-2</v>
      </c>
      <c r="K200" s="140">
        <v>3.2000000000000001E-2</v>
      </c>
      <c r="L200" s="140">
        <v>3.2000000000000001E-2</v>
      </c>
      <c r="M200" s="140">
        <v>3.2000000000000001E-2</v>
      </c>
      <c r="N200" s="140">
        <v>3.5999999999999997E-2</v>
      </c>
      <c r="O200" s="140">
        <v>3.5999999999999997E-2</v>
      </c>
      <c r="P200" s="150">
        <v>3.5999999999999997E-2</v>
      </c>
      <c r="Q200" s="491">
        <v>2.9000000000000001E-2</v>
      </c>
      <c r="R200" s="492">
        <v>2.9000000000000001E-2</v>
      </c>
      <c r="S200" s="492">
        <v>2.8000000000000001E-2</v>
      </c>
      <c r="T200" s="492">
        <v>2.7E-2</v>
      </c>
      <c r="U200" s="430">
        <v>2.7300000000000001E-2</v>
      </c>
      <c r="V200" s="430">
        <v>2.7699999999999999E-2</v>
      </c>
      <c r="W200" s="492">
        <v>2.8000000000000001E-2</v>
      </c>
      <c r="X200" s="493">
        <v>2.8000000000000001E-2</v>
      </c>
      <c r="Y200" s="491">
        <v>5.1999999999999998E-2</v>
      </c>
      <c r="Z200" s="492">
        <v>4.5999999999999999E-2</v>
      </c>
      <c r="AA200" s="492">
        <v>4.3999999999999997E-2</v>
      </c>
      <c r="AB200" s="492">
        <v>4.3999999999999997E-2</v>
      </c>
      <c r="AC200" s="492">
        <v>4.3999999999999997E-2</v>
      </c>
      <c r="AD200" s="493">
        <v>5.8999999999999997E-2</v>
      </c>
    </row>
    <row r="201" spans="1:30" s="47" customFormat="1" ht="15" customHeight="1" x14ac:dyDescent="0.3">
      <c r="A201" s="52" t="s">
        <v>60</v>
      </c>
      <c r="B201" s="59" t="s">
        <v>28</v>
      </c>
      <c r="C201" s="9" t="s">
        <v>69</v>
      </c>
      <c r="D201" s="523" t="s">
        <v>52</v>
      </c>
      <c r="E201" s="101">
        <f t="shared" si="52"/>
        <v>6.6818181818181855E-3</v>
      </c>
      <c r="F201" s="97">
        <f t="shared" si="53"/>
        <v>4.9586776859504046E-4</v>
      </c>
      <c r="G201" s="97">
        <f t="shared" si="54"/>
        <v>6.0000000000000001E-3</v>
      </c>
      <c r="H201" s="377">
        <f t="shared" si="55"/>
        <v>8.0000000000000002E-3</v>
      </c>
      <c r="I201" s="139">
        <v>8.0000000000000002E-3</v>
      </c>
      <c r="J201" s="140">
        <v>6.0000000000000001E-3</v>
      </c>
      <c r="K201" s="140">
        <v>6.0000000000000001E-3</v>
      </c>
      <c r="L201" s="140">
        <v>6.0000000000000001E-3</v>
      </c>
      <c r="M201" s="140">
        <v>6.0000000000000001E-3</v>
      </c>
      <c r="N201" s="140">
        <v>6.0000000000000001E-3</v>
      </c>
      <c r="O201" s="140">
        <v>6.0000000000000001E-3</v>
      </c>
      <c r="P201" s="140">
        <v>6.0000000000000001E-3</v>
      </c>
      <c r="Q201" s="491">
        <v>7.0000000000000001E-3</v>
      </c>
      <c r="R201" s="492">
        <v>7.0000000000000001E-3</v>
      </c>
      <c r="S201" s="492">
        <v>7.0000000000000001E-3</v>
      </c>
      <c r="T201" s="492">
        <v>7.0000000000000001E-3</v>
      </c>
      <c r="U201" s="492">
        <v>7.0000000000000001E-3</v>
      </c>
      <c r="V201" s="492">
        <v>7.0000000000000001E-3</v>
      </c>
      <c r="W201" s="492">
        <v>7.0000000000000001E-3</v>
      </c>
      <c r="X201" s="493">
        <v>7.0000000000000001E-3</v>
      </c>
      <c r="Y201" s="491">
        <v>7.0000000000000001E-3</v>
      </c>
      <c r="Z201" s="492">
        <v>7.0000000000000001E-3</v>
      </c>
      <c r="AA201" s="492">
        <v>7.0000000000000001E-3</v>
      </c>
      <c r="AB201" s="492">
        <v>7.0000000000000001E-3</v>
      </c>
      <c r="AC201" s="492">
        <v>7.0000000000000001E-3</v>
      </c>
      <c r="AD201" s="493">
        <v>6.0000000000000001E-3</v>
      </c>
    </row>
    <row r="202" spans="1:30" s="47" customFormat="1" ht="15" customHeight="1" x14ac:dyDescent="0.3">
      <c r="A202" s="50" t="s">
        <v>17</v>
      </c>
      <c r="B202" s="44" t="s">
        <v>101</v>
      </c>
      <c r="C202" s="9" t="s">
        <v>70</v>
      </c>
      <c r="D202" s="523" t="s">
        <v>52</v>
      </c>
      <c r="E202" s="101">
        <f t="shared" si="52"/>
        <v>0.9413636363636364</v>
      </c>
      <c r="F202" s="97">
        <f t="shared" si="53"/>
        <v>1.3892561983471012E-2</v>
      </c>
      <c r="G202" s="97">
        <f t="shared" si="54"/>
        <v>0.877</v>
      </c>
      <c r="H202" s="377">
        <f t="shared" si="55"/>
        <v>0.96499999999999997</v>
      </c>
      <c r="I202" s="22">
        <v>0.93500000000000005</v>
      </c>
      <c r="J202" s="21">
        <v>0.93200000000000005</v>
      </c>
      <c r="K202" s="21">
        <v>0.94399999999999995</v>
      </c>
      <c r="L202" s="21">
        <v>0.95</v>
      </c>
      <c r="M202" s="21">
        <v>0.95</v>
      </c>
      <c r="N202" s="21">
        <v>0.95</v>
      </c>
      <c r="O202" s="21">
        <v>0.94699999999999995</v>
      </c>
      <c r="P202" s="254">
        <v>0.94199999999999995</v>
      </c>
      <c r="Q202" s="491">
        <v>0.94699999999999995</v>
      </c>
      <c r="R202" s="492">
        <v>0.94799999999999995</v>
      </c>
      <c r="S202" s="492">
        <v>0.95</v>
      </c>
      <c r="T202" s="492">
        <v>0.95199999999999996</v>
      </c>
      <c r="U202" s="492">
        <v>0.95</v>
      </c>
      <c r="V202" s="492">
        <v>0.94899999999999995</v>
      </c>
      <c r="W202" s="494">
        <v>0.877</v>
      </c>
      <c r="X202" s="495">
        <v>0.877</v>
      </c>
      <c r="Y202" s="491">
        <v>0.94699999999999995</v>
      </c>
      <c r="Z202" s="492">
        <v>0.95699999999999996</v>
      </c>
      <c r="AA202" s="492">
        <v>0.96</v>
      </c>
      <c r="AB202" s="492">
        <v>0.96499999999999997</v>
      </c>
      <c r="AC202" s="492">
        <v>0.94799999999999995</v>
      </c>
      <c r="AD202" s="493">
        <v>0.93300000000000005</v>
      </c>
    </row>
    <row r="203" spans="1:30" s="47" customFormat="1" ht="15" customHeight="1" thickBot="1" x14ac:dyDescent="0.35">
      <c r="A203" s="54" t="s">
        <v>18</v>
      </c>
      <c r="B203" s="61" t="s">
        <v>102</v>
      </c>
      <c r="C203" s="10" t="s">
        <v>70</v>
      </c>
      <c r="D203" s="524" t="s">
        <v>52</v>
      </c>
      <c r="E203" s="104">
        <f t="shared" si="52"/>
        <v>0.93681818181818177</v>
      </c>
      <c r="F203" s="105">
        <f t="shared" si="53"/>
        <v>2.1520661157024775E-2</v>
      </c>
      <c r="G203" s="105">
        <f t="shared" si="54"/>
        <v>0.88</v>
      </c>
      <c r="H203" s="380">
        <f t="shared" si="55"/>
        <v>0.96399999999999997</v>
      </c>
      <c r="I203" s="20">
        <v>0.90700000000000003</v>
      </c>
      <c r="J203" s="11">
        <v>0.91400000000000003</v>
      </c>
      <c r="K203" s="11">
        <v>0.95299999999999996</v>
      </c>
      <c r="L203" s="11">
        <v>0.95299999999999996</v>
      </c>
      <c r="M203" s="11">
        <v>0.95299999999999996</v>
      </c>
      <c r="N203" s="11">
        <v>0.96399999999999997</v>
      </c>
      <c r="O203" s="11">
        <v>0.96399999999999997</v>
      </c>
      <c r="P203" s="30">
        <v>0.96399999999999997</v>
      </c>
      <c r="Q203" s="496">
        <v>0.94699999999999995</v>
      </c>
      <c r="R203" s="497">
        <v>0.93899999999999995</v>
      </c>
      <c r="S203" s="497">
        <v>0.92300000000000004</v>
      </c>
      <c r="T203" s="497">
        <v>0.90700000000000003</v>
      </c>
      <c r="U203" s="497">
        <v>0.95</v>
      </c>
      <c r="V203" s="497">
        <v>0.95</v>
      </c>
      <c r="W203" s="498">
        <v>0.88</v>
      </c>
      <c r="X203" s="499">
        <v>0.88</v>
      </c>
      <c r="Y203" s="496">
        <v>0.91</v>
      </c>
      <c r="Z203" s="497">
        <v>0.94199999999999995</v>
      </c>
      <c r="AA203" s="497">
        <v>0.95199999999999996</v>
      </c>
      <c r="AB203" s="497">
        <v>0.95199999999999996</v>
      </c>
      <c r="AC203" s="497">
        <v>0.95199999999999996</v>
      </c>
      <c r="AD203" s="500">
        <v>0.95399999999999996</v>
      </c>
    </row>
    <row r="204" spans="1:30" s="7" customFormat="1" ht="25.05" customHeight="1" thickBot="1" x14ac:dyDescent="0.35">
      <c r="A204" s="470"/>
      <c r="B204" s="470"/>
      <c r="C204" s="471"/>
      <c r="D204" s="471"/>
      <c r="E204" s="471"/>
      <c r="F204" s="471"/>
      <c r="G204" s="471"/>
      <c r="H204" s="471"/>
      <c r="I204" s="471"/>
      <c r="J204" s="471"/>
      <c r="K204" s="471"/>
      <c r="L204" s="471"/>
      <c r="M204" s="471"/>
      <c r="N204" s="471"/>
      <c r="O204" s="471"/>
      <c r="P204" s="471"/>
      <c r="Q204" s="471"/>
      <c r="R204" s="471"/>
      <c r="S204" s="471"/>
      <c r="T204" s="471"/>
      <c r="U204" s="471"/>
      <c r="V204" s="471"/>
      <c r="W204" s="471"/>
      <c r="X204" s="471"/>
      <c r="Y204" s="471"/>
      <c r="Z204" s="471"/>
      <c r="AA204" s="471"/>
      <c r="AB204" s="471"/>
      <c r="AC204" s="471"/>
      <c r="AD204" s="471"/>
    </row>
    <row r="205" spans="1:30" s="37" customFormat="1" ht="15.75" hidden="1" customHeight="1" thickBot="1" x14ac:dyDescent="0.35">
      <c r="A205" s="115"/>
      <c r="B205" s="116"/>
      <c r="C205" s="116"/>
      <c r="D205" s="375"/>
      <c r="E205" s="1013" t="s">
        <v>154</v>
      </c>
      <c r="F205" s="1014"/>
      <c r="G205" s="1014"/>
      <c r="H205" s="1015"/>
      <c r="I205" s="864"/>
      <c r="J205" s="865"/>
      <c r="K205" s="865"/>
      <c r="L205" s="865"/>
      <c r="M205" s="865"/>
      <c r="N205" s="866"/>
      <c r="O205" s="864"/>
      <c r="P205" s="865"/>
      <c r="Q205" s="865"/>
      <c r="R205" s="865"/>
      <c r="S205" s="232"/>
    </row>
    <row r="206" spans="1:30" s="7" customFormat="1" ht="40.049999999999997" hidden="1" customHeight="1" thickBot="1" x14ac:dyDescent="0.35">
      <c r="A206" s="1025">
        <f>COUNTA(I206:CA206)</f>
        <v>0</v>
      </c>
      <c r="B206" s="1025"/>
      <c r="C206" s="1026"/>
      <c r="D206" s="262" t="s">
        <v>0</v>
      </c>
      <c r="E206" s="110" t="s">
        <v>31</v>
      </c>
      <c r="F206" s="567"/>
      <c r="G206" s="111" t="s">
        <v>57</v>
      </c>
      <c r="H206" s="112" t="s">
        <v>58</v>
      </c>
      <c r="I206" s="24"/>
      <c r="J206" s="25"/>
      <c r="K206" s="25"/>
      <c r="L206" s="25"/>
      <c r="M206" s="25"/>
      <c r="N206" s="26"/>
      <c r="O206" s="24"/>
      <c r="P206" s="25"/>
      <c r="Q206" s="25"/>
      <c r="R206" s="225"/>
      <c r="S206" s="29"/>
      <c r="T206" s="37"/>
      <c r="U206" s="37"/>
      <c r="V206" s="37"/>
      <c r="W206" s="37"/>
      <c r="X206" s="37"/>
    </row>
    <row r="207" spans="1:30" s="7" customFormat="1" ht="15.75" hidden="1" customHeight="1" thickBot="1" x14ac:dyDescent="0.35">
      <c r="A207" s="1027"/>
      <c r="B207" s="1027"/>
      <c r="C207" s="1028"/>
      <c r="D207" s="36" t="s">
        <v>33</v>
      </c>
      <c r="E207" s="971"/>
      <c r="F207" s="972"/>
      <c r="G207" s="972"/>
      <c r="H207" s="973"/>
      <c r="I207" s="852" t="s">
        <v>29</v>
      </c>
      <c r="J207" s="853"/>
      <c r="K207" s="853"/>
      <c r="L207" s="853"/>
      <c r="M207" s="853"/>
      <c r="N207" s="853"/>
      <c r="O207" s="852" t="s">
        <v>29</v>
      </c>
      <c r="P207" s="853"/>
      <c r="Q207" s="853"/>
      <c r="R207" s="854"/>
      <c r="S207" s="952" t="s">
        <v>29</v>
      </c>
      <c r="T207" s="37"/>
      <c r="U207" s="37"/>
      <c r="V207" s="37"/>
      <c r="W207" s="37"/>
      <c r="X207" s="37"/>
    </row>
    <row r="208" spans="1:30" s="7" customFormat="1" ht="16.2" hidden="1" thickBot="1" x14ac:dyDescent="0.35">
      <c r="A208" s="57" t="s">
        <v>54</v>
      </c>
      <c r="B208" s="58" t="s">
        <v>55</v>
      </c>
      <c r="C208" s="62" t="s">
        <v>1</v>
      </c>
      <c r="D208" s="56" t="s">
        <v>32</v>
      </c>
      <c r="E208" s="971"/>
      <c r="F208" s="972"/>
      <c r="G208" s="972"/>
      <c r="H208" s="973"/>
      <c r="I208" s="1004"/>
      <c r="J208" s="1005"/>
      <c r="K208" s="1005"/>
      <c r="L208" s="1005"/>
      <c r="M208" s="1005"/>
      <c r="N208" s="1005"/>
      <c r="O208" s="855"/>
      <c r="P208" s="856"/>
      <c r="Q208" s="856"/>
      <c r="R208" s="857"/>
      <c r="S208" s="953"/>
      <c r="T208" s="37"/>
      <c r="U208" s="37"/>
      <c r="V208" s="37"/>
      <c r="W208" s="37"/>
      <c r="X208" s="37"/>
    </row>
    <row r="209" spans="1:35" s="47" customFormat="1" ht="15" hidden="1" customHeight="1" x14ac:dyDescent="0.3">
      <c r="A209" s="46" t="s">
        <v>5</v>
      </c>
      <c r="B209" s="60" t="s">
        <v>21</v>
      </c>
      <c r="C209" s="8" t="s">
        <v>69</v>
      </c>
      <c r="D209" s="123" t="s">
        <v>52</v>
      </c>
      <c r="E209" s="99" t="e">
        <f t="shared" ref="E209:E218" si="56">AVERAGE(I209:BY209)</f>
        <v>#DIV/0!</v>
      </c>
      <c r="F209" s="568"/>
      <c r="G209" s="100">
        <f t="shared" ref="G209:G218" si="57">MIN(I209:BY209)</f>
        <v>0</v>
      </c>
      <c r="H209" s="376">
        <f t="shared" ref="H209:H218" si="58">MAX(I209:BY209)</f>
        <v>0</v>
      </c>
      <c r="I209" s="215"/>
      <c r="J209" s="207"/>
      <c r="K209" s="207"/>
      <c r="L209" s="207"/>
      <c r="M209" s="207"/>
      <c r="N209" s="208"/>
      <c r="O209" s="215"/>
      <c r="P209" s="207"/>
      <c r="Q209" s="207"/>
      <c r="R209" s="208"/>
      <c r="S209" s="226"/>
      <c r="T209" s="37"/>
      <c r="U209" s="37"/>
      <c r="V209" s="37"/>
      <c r="W209" s="37"/>
      <c r="X209" s="37"/>
    </row>
    <row r="210" spans="1:35" s="47" customFormat="1" ht="15" hidden="1" customHeight="1" x14ac:dyDescent="0.3">
      <c r="A210" s="50" t="s">
        <v>6</v>
      </c>
      <c r="B210" s="44" t="s">
        <v>22</v>
      </c>
      <c r="C210" s="9" t="s">
        <v>70</v>
      </c>
      <c r="D210" s="124" t="s">
        <v>52</v>
      </c>
      <c r="E210" s="101" t="e">
        <f t="shared" si="56"/>
        <v>#DIV/0!</v>
      </c>
      <c r="F210" s="569"/>
      <c r="G210" s="97">
        <f t="shared" si="57"/>
        <v>0</v>
      </c>
      <c r="H210" s="377">
        <f t="shared" si="58"/>
        <v>0</v>
      </c>
      <c r="I210" s="214"/>
      <c r="J210" s="205"/>
      <c r="K210" s="205"/>
      <c r="L210" s="205"/>
      <c r="M210" s="205"/>
      <c r="N210" s="204"/>
      <c r="O210" s="214"/>
      <c r="P210" s="205"/>
      <c r="Q210" s="205"/>
      <c r="R210" s="204"/>
      <c r="S210" s="227"/>
      <c r="T210" s="37"/>
      <c r="U210" s="37"/>
      <c r="V210" s="37"/>
      <c r="W210" s="37"/>
      <c r="X210" s="37"/>
    </row>
    <row r="211" spans="1:35" s="47" customFormat="1" ht="15" hidden="1" customHeight="1" x14ac:dyDescent="0.3">
      <c r="A211" s="50" t="s">
        <v>64</v>
      </c>
      <c r="B211" s="59" t="s">
        <v>152</v>
      </c>
      <c r="C211" s="9" t="s">
        <v>70</v>
      </c>
      <c r="D211" s="124" t="s">
        <v>61</v>
      </c>
      <c r="E211" s="102" t="e">
        <f t="shared" si="56"/>
        <v>#DIV/0!</v>
      </c>
      <c r="F211" s="570"/>
      <c r="G211" s="98">
        <f t="shared" si="57"/>
        <v>0</v>
      </c>
      <c r="H211" s="378">
        <f t="shared" si="58"/>
        <v>0</v>
      </c>
      <c r="I211" s="216"/>
      <c r="J211" s="209"/>
      <c r="K211" s="209"/>
      <c r="L211" s="209"/>
      <c r="M211" s="209"/>
      <c r="N211" s="210"/>
      <c r="O211" s="216"/>
      <c r="P211" s="209"/>
      <c r="Q211" s="209"/>
      <c r="R211" s="210"/>
      <c r="S211" s="228"/>
      <c r="T211" s="37"/>
      <c r="U211" s="37"/>
      <c r="V211" s="37"/>
      <c r="W211" s="37"/>
      <c r="X211" s="37"/>
    </row>
    <row r="212" spans="1:35" s="47" customFormat="1" ht="15" hidden="1" customHeight="1" x14ac:dyDescent="0.3">
      <c r="A212" s="50" t="s">
        <v>3</v>
      </c>
      <c r="B212" s="44" t="s">
        <v>278</v>
      </c>
      <c r="C212" s="9" t="s">
        <v>71</v>
      </c>
      <c r="D212" s="124" t="s">
        <v>52</v>
      </c>
      <c r="E212" s="103" t="e">
        <f t="shared" si="56"/>
        <v>#DIV/0!</v>
      </c>
      <c r="F212" s="571"/>
      <c r="G212" s="96">
        <f t="shared" si="57"/>
        <v>0</v>
      </c>
      <c r="H212" s="379">
        <f t="shared" si="58"/>
        <v>0</v>
      </c>
      <c r="I212" s="213"/>
      <c r="J212" s="203"/>
      <c r="K212" s="203"/>
      <c r="L212" s="203"/>
      <c r="M212" s="201"/>
      <c r="N212" s="200"/>
      <c r="O212" s="212"/>
      <c r="P212" s="201"/>
      <c r="Q212" s="201"/>
      <c r="R212" s="200"/>
      <c r="S212" s="229"/>
      <c r="T212" s="37"/>
      <c r="U212" s="37"/>
      <c r="V212" s="37"/>
      <c r="W212" s="37"/>
      <c r="X212" s="37"/>
    </row>
    <row r="213" spans="1:35" s="47" customFormat="1" ht="15" hidden="1" customHeight="1" x14ac:dyDescent="0.3">
      <c r="A213" s="50" t="s">
        <v>4</v>
      </c>
      <c r="B213" s="44" t="s">
        <v>153</v>
      </c>
      <c r="C213" s="9" t="s">
        <v>71</v>
      </c>
      <c r="D213" s="124" t="s">
        <v>52</v>
      </c>
      <c r="E213" s="103" t="e">
        <f t="shared" si="56"/>
        <v>#DIV/0!</v>
      </c>
      <c r="F213" s="571"/>
      <c r="G213" s="96">
        <f t="shared" si="57"/>
        <v>0</v>
      </c>
      <c r="H213" s="379">
        <f t="shared" si="58"/>
        <v>0</v>
      </c>
      <c r="I213" s="213"/>
      <c r="J213" s="203"/>
      <c r="K213" s="203"/>
      <c r="L213" s="203"/>
      <c r="M213" s="203"/>
      <c r="N213" s="202"/>
      <c r="O213" s="213"/>
      <c r="P213" s="203"/>
      <c r="Q213" s="203"/>
      <c r="R213" s="202"/>
      <c r="S213" s="230"/>
      <c r="T213" s="37"/>
      <c r="U213" s="37"/>
      <c r="V213" s="37"/>
      <c r="W213" s="37"/>
      <c r="X213" s="37"/>
    </row>
    <row r="214" spans="1:35" s="47" customFormat="1" ht="15" hidden="1" customHeight="1" x14ac:dyDescent="0.3">
      <c r="A214" s="50" t="s">
        <v>59</v>
      </c>
      <c r="B214" s="44" t="s">
        <v>26</v>
      </c>
      <c r="C214" s="9" t="s">
        <v>69</v>
      </c>
      <c r="D214" s="124" t="s">
        <v>52</v>
      </c>
      <c r="E214" s="101" t="e">
        <f t="shared" si="56"/>
        <v>#DIV/0!</v>
      </c>
      <c r="F214" s="569"/>
      <c r="G214" s="97">
        <f t="shared" si="57"/>
        <v>0</v>
      </c>
      <c r="H214" s="377">
        <f t="shared" si="58"/>
        <v>0</v>
      </c>
      <c r="I214" s="212"/>
      <c r="J214" s="201"/>
      <c r="K214" s="201"/>
      <c r="L214" s="201"/>
      <c r="M214" s="201"/>
      <c r="N214" s="200"/>
      <c r="O214" s="212"/>
      <c r="P214" s="201"/>
      <c r="Q214" s="201"/>
      <c r="R214" s="200"/>
      <c r="S214" s="229"/>
      <c r="T214" s="37"/>
      <c r="U214" s="37"/>
      <c r="V214" s="37"/>
      <c r="W214" s="37"/>
      <c r="X214" s="37"/>
    </row>
    <row r="215" spans="1:35" s="47" customFormat="1" ht="15" hidden="1" customHeight="1" x14ac:dyDescent="0.3">
      <c r="A215" s="50" t="s">
        <v>51</v>
      </c>
      <c r="B215" s="44" t="s">
        <v>27</v>
      </c>
      <c r="C215" s="9" t="s">
        <v>69</v>
      </c>
      <c r="D215" s="124" t="s">
        <v>52</v>
      </c>
      <c r="E215" s="101" t="e">
        <f t="shared" si="56"/>
        <v>#DIV/0!</v>
      </c>
      <c r="F215" s="569"/>
      <c r="G215" s="97">
        <f t="shared" si="57"/>
        <v>0</v>
      </c>
      <c r="H215" s="377">
        <f t="shared" si="58"/>
        <v>0</v>
      </c>
      <c r="I215" s="212"/>
      <c r="J215" s="201"/>
      <c r="K215" s="201"/>
      <c r="L215" s="201"/>
      <c r="M215" s="201"/>
      <c r="N215" s="200"/>
      <c r="O215" s="212"/>
      <c r="P215" s="201"/>
      <c r="Q215" s="201"/>
      <c r="R215" s="200"/>
      <c r="S215" s="229"/>
      <c r="T215" s="37"/>
      <c r="U215" s="37"/>
      <c r="V215" s="37"/>
      <c r="W215" s="37"/>
      <c r="X215" s="37"/>
    </row>
    <row r="216" spans="1:35" s="47" customFormat="1" ht="15" hidden="1" customHeight="1" x14ac:dyDescent="0.3">
      <c r="A216" s="52" t="s">
        <v>60</v>
      </c>
      <c r="B216" s="59" t="s">
        <v>28</v>
      </c>
      <c r="C216" s="9" t="s">
        <v>69</v>
      </c>
      <c r="D216" s="124" t="s">
        <v>52</v>
      </c>
      <c r="E216" s="101" t="e">
        <f t="shared" si="56"/>
        <v>#DIV/0!</v>
      </c>
      <c r="F216" s="569"/>
      <c r="G216" s="97">
        <f t="shared" si="57"/>
        <v>0</v>
      </c>
      <c r="H216" s="377">
        <f t="shared" si="58"/>
        <v>0</v>
      </c>
      <c r="I216" s="217"/>
      <c r="J216" s="206"/>
      <c r="K216" s="199"/>
      <c r="L216" s="199"/>
      <c r="M216" s="199"/>
      <c r="N216" s="198"/>
      <c r="O216" s="211"/>
      <c r="P216" s="199"/>
      <c r="Q216" s="199"/>
      <c r="R216" s="198"/>
      <c r="S216" s="231"/>
      <c r="T216" s="37"/>
      <c r="U216" s="37"/>
      <c r="V216" s="37"/>
      <c r="W216" s="37"/>
      <c r="X216" s="37"/>
    </row>
    <row r="217" spans="1:35" s="47" customFormat="1" ht="15" hidden="1" customHeight="1" x14ac:dyDescent="0.3">
      <c r="A217" s="50" t="s">
        <v>17</v>
      </c>
      <c r="B217" s="44" t="s">
        <v>101</v>
      </c>
      <c r="C217" s="9" t="s">
        <v>70</v>
      </c>
      <c r="D217" s="124" t="s">
        <v>174</v>
      </c>
      <c r="E217" s="101" t="e">
        <f t="shared" si="56"/>
        <v>#DIV/0!</v>
      </c>
      <c r="F217" s="569"/>
      <c r="G217" s="97">
        <f t="shared" si="57"/>
        <v>0</v>
      </c>
      <c r="H217" s="377">
        <f t="shared" si="58"/>
        <v>0</v>
      </c>
      <c r="I217" s="246"/>
      <c r="J217" s="245"/>
      <c r="K217" s="245"/>
      <c r="L217" s="245"/>
      <c r="M217" s="245"/>
      <c r="N217" s="247"/>
      <c r="O217" s="246"/>
      <c r="P217" s="245"/>
      <c r="Q217" s="245"/>
      <c r="R217" s="247"/>
      <c r="S217" s="248"/>
      <c r="T217" s="37"/>
      <c r="U217" s="37"/>
      <c r="V217" s="37"/>
      <c r="W217" s="37"/>
      <c r="X217" s="37"/>
    </row>
    <row r="218" spans="1:35" s="47" customFormat="1" ht="15" hidden="1" customHeight="1" thickBot="1" x14ac:dyDescent="0.35">
      <c r="A218" s="54" t="s">
        <v>18</v>
      </c>
      <c r="B218" s="61" t="s">
        <v>102</v>
      </c>
      <c r="C218" s="10" t="s">
        <v>70</v>
      </c>
      <c r="D218" s="125" t="s">
        <v>175</v>
      </c>
      <c r="E218" s="104" t="e">
        <f t="shared" si="56"/>
        <v>#DIV/0!</v>
      </c>
      <c r="F218" s="572"/>
      <c r="G218" s="105">
        <f t="shared" si="57"/>
        <v>0</v>
      </c>
      <c r="H218" s="380">
        <f t="shared" si="58"/>
        <v>0</v>
      </c>
      <c r="I218" s="237"/>
      <c r="J218" s="238"/>
      <c r="K218" s="238"/>
      <c r="L218" s="238"/>
      <c r="M218" s="238"/>
      <c r="N218" s="239"/>
      <c r="O218" s="237"/>
      <c r="P218" s="238"/>
      <c r="Q218" s="238"/>
      <c r="R218" s="239"/>
      <c r="S218" s="240"/>
      <c r="T218" s="37"/>
      <c r="U218" s="37"/>
      <c r="V218" s="37"/>
      <c r="W218" s="37"/>
      <c r="X218" s="37"/>
    </row>
    <row r="219" spans="1:35" s="7" customFormat="1" ht="25.05" hidden="1" customHeight="1" thickBot="1" x14ac:dyDescent="0.35">
      <c r="A219" s="470"/>
      <c r="B219" s="470"/>
      <c r="C219" s="471"/>
      <c r="D219" s="471"/>
      <c r="E219" s="471"/>
      <c r="F219" s="471"/>
      <c r="G219" s="471"/>
      <c r="H219" s="471"/>
      <c r="I219" s="471"/>
      <c r="J219" s="471"/>
      <c r="K219" s="471"/>
      <c r="L219" s="471"/>
      <c r="M219" s="471"/>
      <c r="N219" s="471"/>
      <c r="O219" s="471"/>
      <c r="P219" s="471"/>
      <c r="Q219" s="471"/>
      <c r="R219" s="471"/>
      <c r="S219" s="471"/>
      <c r="T219" s="37"/>
      <c r="U219" s="37"/>
      <c r="V219" s="37"/>
      <c r="W219" s="37"/>
      <c r="X219" s="37"/>
      <c r="Y219" s="471"/>
      <c r="Z219" s="471"/>
      <c r="AA219" s="471"/>
      <c r="AB219" s="471"/>
      <c r="AC219" s="471"/>
      <c r="AD219" s="471"/>
    </row>
    <row r="220" spans="1:35" s="55" customFormat="1" ht="15" customHeight="1" thickBot="1" x14ac:dyDescent="0.35">
      <c r="A220" s="115" t="s">
        <v>30</v>
      </c>
      <c r="B220" s="116"/>
      <c r="C220" s="116"/>
      <c r="D220" s="375" t="s">
        <v>30</v>
      </c>
      <c r="E220" s="1013" t="s">
        <v>30</v>
      </c>
      <c r="F220" s="1014"/>
      <c r="G220" s="1014"/>
      <c r="H220" s="1015"/>
      <c r="I220" s="864" t="s">
        <v>30</v>
      </c>
      <c r="J220" s="865"/>
      <c r="K220" s="865"/>
      <c r="L220" s="865"/>
      <c r="M220" s="866"/>
      <c r="N220" s="864" t="s">
        <v>30</v>
      </c>
      <c r="O220" s="865"/>
      <c r="P220" s="866"/>
      <c r="Q220" s="864" t="s">
        <v>30</v>
      </c>
      <c r="R220" s="865"/>
      <c r="S220" s="865"/>
      <c r="T220" s="865"/>
      <c r="U220" s="865"/>
      <c r="V220" s="864" t="s">
        <v>30</v>
      </c>
      <c r="W220" s="865"/>
      <c r="X220" s="865"/>
      <c r="Y220" s="866"/>
      <c r="Z220" s="864" t="s">
        <v>30</v>
      </c>
      <c r="AA220" s="865"/>
      <c r="AB220" s="866"/>
      <c r="AC220" s="864" t="s">
        <v>30</v>
      </c>
      <c r="AD220" s="865"/>
      <c r="AE220" s="866"/>
      <c r="AF220" s="864" t="s">
        <v>30</v>
      </c>
      <c r="AG220" s="865"/>
      <c r="AH220" s="865"/>
      <c r="AI220" s="866"/>
    </row>
    <row r="221" spans="1:35" s="47" customFormat="1" ht="40.049999999999997" customHeight="1" thickBot="1" x14ac:dyDescent="0.35">
      <c r="A221" s="1025">
        <f>COUNTA(I221:CA221)</f>
        <v>27</v>
      </c>
      <c r="B221" s="1025"/>
      <c r="C221" s="1026"/>
      <c r="D221" s="262" t="s">
        <v>0</v>
      </c>
      <c r="E221" s="110" t="s">
        <v>31</v>
      </c>
      <c r="F221" s="573" t="s">
        <v>512</v>
      </c>
      <c r="G221" s="111" t="s">
        <v>57</v>
      </c>
      <c r="H221" s="112" t="s">
        <v>58</v>
      </c>
      <c r="I221" s="39" t="s">
        <v>9</v>
      </c>
      <c r="J221" s="39" t="s">
        <v>10</v>
      </c>
      <c r="K221" s="39" t="s">
        <v>11</v>
      </c>
      <c r="L221" s="39" t="s">
        <v>12</v>
      </c>
      <c r="M221" s="40" t="s">
        <v>13</v>
      </c>
      <c r="N221" s="136" t="s">
        <v>14</v>
      </c>
      <c r="O221" s="252" t="s">
        <v>15</v>
      </c>
      <c r="P221" s="253" t="s">
        <v>16</v>
      </c>
      <c r="Q221" s="39" t="s">
        <v>762</v>
      </c>
      <c r="R221" s="39" t="s">
        <v>763</v>
      </c>
      <c r="S221" s="39" t="s">
        <v>764</v>
      </c>
      <c r="T221" s="39" t="s">
        <v>765</v>
      </c>
      <c r="U221" s="40" t="s">
        <v>766</v>
      </c>
      <c r="V221" s="504" t="s">
        <v>767</v>
      </c>
      <c r="W221" s="39" t="s">
        <v>768</v>
      </c>
      <c r="X221" s="39" t="s">
        <v>769</v>
      </c>
      <c r="Y221" s="148" t="s">
        <v>770</v>
      </c>
      <c r="Z221" s="504" t="s">
        <v>771</v>
      </c>
      <c r="AA221" s="39" t="s">
        <v>772</v>
      </c>
      <c r="AB221" s="148" t="s">
        <v>773</v>
      </c>
      <c r="AC221" s="504" t="s">
        <v>774</v>
      </c>
      <c r="AD221" s="39" t="s">
        <v>775</v>
      </c>
      <c r="AE221" s="148" t="s">
        <v>776</v>
      </c>
      <c r="AF221" s="504" t="s">
        <v>777</v>
      </c>
      <c r="AG221" s="39" t="s">
        <v>778</v>
      </c>
      <c r="AH221" s="39" t="s">
        <v>779</v>
      </c>
      <c r="AI221" s="148" t="s">
        <v>780</v>
      </c>
    </row>
    <row r="222" spans="1:35" s="47" customFormat="1" ht="15" customHeight="1" thickBot="1" x14ac:dyDescent="0.35">
      <c r="A222" s="1027"/>
      <c r="B222" s="1027"/>
      <c r="C222" s="1028"/>
      <c r="D222" s="36" t="s">
        <v>33</v>
      </c>
      <c r="E222" s="971" t="s">
        <v>513</v>
      </c>
      <c r="F222" s="972"/>
      <c r="G222" s="972"/>
      <c r="H222" s="973"/>
      <c r="I222" s="858" t="s">
        <v>29</v>
      </c>
      <c r="J222" s="859"/>
      <c r="K222" s="859"/>
      <c r="L222" s="859"/>
      <c r="M222" s="860"/>
      <c r="N222" s="858" t="s">
        <v>29</v>
      </c>
      <c r="O222" s="859"/>
      <c r="P222" s="860"/>
      <c r="Q222" s="858" t="s">
        <v>29</v>
      </c>
      <c r="R222" s="859"/>
      <c r="S222" s="859"/>
      <c r="T222" s="859"/>
      <c r="U222" s="859"/>
      <c r="V222" s="858" t="s">
        <v>29</v>
      </c>
      <c r="W222" s="859"/>
      <c r="X222" s="859"/>
      <c r="Y222" s="860"/>
      <c r="Z222" s="858" t="s">
        <v>29</v>
      </c>
      <c r="AA222" s="859"/>
      <c r="AB222" s="860"/>
      <c r="AC222" s="858" t="s">
        <v>29</v>
      </c>
      <c r="AD222" s="859"/>
      <c r="AE222" s="860"/>
      <c r="AF222" s="858" t="s">
        <v>29</v>
      </c>
      <c r="AG222" s="859"/>
      <c r="AH222" s="859"/>
      <c r="AI222" s="860"/>
    </row>
    <row r="223" spans="1:35" s="47" customFormat="1" ht="15" customHeight="1" thickBot="1" x14ac:dyDescent="0.35">
      <c r="A223" s="57" t="s">
        <v>54</v>
      </c>
      <c r="B223" s="58" t="s">
        <v>55</v>
      </c>
      <c r="C223" s="62" t="s">
        <v>1</v>
      </c>
      <c r="D223" s="56" t="s">
        <v>32</v>
      </c>
      <c r="E223" s="971"/>
      <c r="F223" s="972"/>
      <c r="G223" s="972"/>
      <c r="H223" s="973"/>
      <c r="I223" s="1019"/>
      <c r="J223" s="1020"/>
      <c r="K223" s="1020"/>
      <c r="L223" s="1020"/>
      <c r="M223" s="1021"/>
      <c r="N223" s="1019"/>
      <c r="O223" s="1020"/>
      <c r="P223" s="1021"/>
      <c r="Q223" s="861"/>
      <c r="R223" s="862"/>
      <c r="S223" s="862"/>
      <c r="T223" s="862"/>
      <c r="U223" s="862"/>
      <c r="V223" s="861"/>
      <c r="W223" s="862"/>
      <c r="X223" s="862"/>
      <c r="Y223" s="863"/>
      <c r="Z223" s="861"/>
      <c r="AA223" s="862"/>
      <c r="AB223" s="863"/>
      <c r="AC223" s="861"/>
      <c r="AD223" s="862"/>
      <c r="AE223" s="863"/>
      <c r="AF223" s="861"/>
      <c r="AG223" s="862"/>
      <c r="AH223" s="862"/>
      <c r="AI223" s="863"/>
    </row>
    <row r="224" spans="1:35" s="47" customFormat="1" ht="15" customHeight="1" x14ac:dyDescent="0.3">
      <c r="A224" s="46" t="s">
        <v>5</v>
      </c>
      <c r="B224" s="60" t="s">
        <v>21</v>
      </c>
      <c r="C224" s="8" t="s">
        <v>69</v>
      </c>
      <c r="D224" s="522" t="s">
        <v>52</v>
      </c>
      <c r="E224" s="99">
        <f t="shared" ref="E224:E233" si="59">AVERAGE(I224:BY224)</f>
        <v>56.611111111111114</v>
      </c>
      <c r="F224" s="100">
        <f t="shared" ref="F224:F233" si="60">AVEDEV(I224:BY224)</f>
        <v>51.135802469135804</v>
      </c>
      <c r="G224" s="100">
        <f t="shared" ref="G224:G233" si="61">MIN(I224:BY224)</f>
        <v>9.9</v>
      </c>
      <c r="H224" s="376">
        <f t="shared" ref="H224:H233" si="62">MAX(I224:BY224)</f>
        <v>300</v>
      </c>
      <c r="I224" s="34">
        <v>14.9</v>
      </c>
      <c r="J224" s="35">
        <v>25</v>
      </c>
      <c r="K224" s="35">
        <v>35</v>
      </c>
      <c r="L224" s="35">
        <v>49</v>
      </c>
      <c r="M224" s="42">
        <v>70</v>
      </c>
      <c r="N224" s="34">
        <v>9.9</v>
      </c>
      <c r="O224" s="35">
        <v>14.9</v>
      </c>
      <c r="P224" s="43">
        <v>22</v>
      </c>
      <c r="Q224" s="34">
        <v>22</v>
      </c>
      <c r="R224" s="35">
        <v>30</v>
      </c>
      <c r="S224" s="35">
        <v>40</v>
      </c>
      <c r="T224" s="35">
        <v>49</v>
      </c>
      <c r="U224" s="42">
        <v>60</v>
      </c>
      <c r="V224" s="34">
        <v>9.9</v>
      </c>
      <c r="W224" s="35">
        <v>14.9</v>
      </c>
      <c r="X224" s="35">
        <v>19.8</v>
      </c>
      <c r="Y224" s="43">
        <v>24</v>
      </c>
      <c r="Z224" s="34">
        <v>15.4</v>
      </c>
      <c r="AA224" s="35">
        <v>19.7</v>
      </c>
      <c r="AB224" s="43">
        <v>24</v>
      </c>
      <c r="AC224" s="34">
        <v>15.7</v>
      </c>
      <c r="AD224" s="35">
        <v>19.399999999999999</v>
      </c>
      <c r="AE224" s="43">
        <v>24</v>
      </c>
      <c r="AF224" s="34">
        <v>150</v>
      </c>
      <c r="AG224" s="35">
        <v>200</v>
      </c>
      <c r="AH224" s="35">
        <v>250</v>
      </c>
      <c r="AI224" s="43">
        <v>300</v>
      </c>
    </row>
    <row r="225" spans="1:35" s="47" customFormat="1" ht="15" customHeight="1" x14ac:dyDescent="0.3">
      <c r="A225" s="50" t="s">
        <v>6</v>
      </c>
      <c r="B225" s="44" t="s">
        <v>22</v>
      </c>
      <c r="C225" s="9" t="s">
        <v>70</v>
      </c>
      <c r="D225" s="523" t="s">
        <v>52</v>
      </c>
      <c r="E225" s="101">
        <f t="shared" si="59"/>
        <v>1.0026669120426481E-2</v>
      </c>
      <c r="F225" s="97">
        <f t="shared" si="60"/>
        <v>3.8069258580534604E-3</v>
      </c>
      <c r="G225" s="97">
        <f t="shared" si="61"/>
        <v>2.0999999999999999E-3</v>
      </c>
      <c r="H225" s="377">
        <f t="shared" si="62"/>
        <v>1.560627612852275E-2</v>
      </c>
      <c r="I225" s="139">
        <v>1.0999999999999999E-2</v>
      </c>
      <c r="J225" s="140">
        <v>8.5000000000000006E-3</v>
      </c>
      <c r="K225" s="140">
        <v>5.4999999999999997E-3</v>
      </c>
      <c r="L225" s="140">
        <v>4.4000000000000003E-3</v>
      </c>
      <c r="M225" s="150">
        <v>3.8E-3</v>
      </c>
      <c r="N225" s="139">
        <v>2.3999999999999998E-3</v>
      </c>
      <c r="O225" s="140">
        <v>2.0999999999999999E-3</v>
      </c>
      <c r="P225" s="224">
        <v>2.0999999999999999E-3</v>
      </c>
      <c r="Q225" s="139">
        <v>1.351861546145032E-2</v>
      </c>
      <c r="R225" s="140">
        <v>1.2707730046587633E-2</v>
      </c>
      <c r="S225" s="140">
        <v>1.1955598852205668E-2</v>
      </c>
      <c r="T225" s="140">
        <v>1.1425019598228349E-2</v>
      </c>
      <c r="U225" s="150">
        <v>1.0895529472690466E-2</v>
      </c>
      <c r="V225" s="139">
        <v>1.560627612852275E-2</v>
      </c>
      <c r="W225" s="140">
        <v>1.453741866415811E-2</v>
      </c>
      <c r="X225" s="140">
        <v>1.3794075554625584E-2</v>
      </c>
      <c r="Y225" s="224">
        <v>1.3291128324896134E-2</v>
      </c>
      <c r="Z225" s="139">
        <v>1.4451125260564492E-2</v>
      </c>
      <c r="AA225" s="140">
        <v>1.3807313318507212E-2</v>
      </c>
      <c r="AB225" s="224">
        <v>1.3291128324896134E-2</v>
      </c>
      <c r="AC225" s="139">
        <v>1.4400684092496414E-2</v>
      </c>
      <c r="AD225" s="140">
        <v>1.3847433585820041E-2</v>
      </c>
      <c r="AE225" s="224">
        <v>1.3291128324896134E-2</v>
      </c>
      <c r="AF225" s="139">
        <v>8.4999306204847982E-3</v>
      </c>
      <c r="AG225" s="140">
        <v>7.7477994261028332E-3</v>
      </c>
      <c r="AH225" s="140">
        <v>7.1644011477943349E-3</v>
      </c>
      <c r="AI225" s="224">
        <v>6.6877300465876324E-3</v>
      </c>
    </row>
    <row r="226" spans="1:35" s="47" customFormat="1" ht="15" customHeight="1" x14ac:dyDescent="0.3">
      <c r="A226" s="50" t="s">
        <v>64</v>
      </c>
      <c r="B226" s="59" t="s">
        <v>152</v>
      </c>
      <c r="C226" s="9" t="s">
        <v>70</v>
      </c>
      <c r="D226" s="523" t="s">
        <v>61</v>
      </c>
      <c r="E226" s="102">
        <f t="shared" si="59"/>
        <v>0.29999999999999993</v>
      </c>
      <c r="F226" s="98">
        <f t="shared" si="60"/>
        <v>5.5511151231257827E-17</v>
      </c>
      <c r="G226" s="98">
        <f t="shared" si="61"/>
        <v>0.3</v>
      </c>
      <c r="H226" s="378">
        <f t="shared" si="62"/>
        <v>0.3</v>
      </c>
      <c r="I226" s="82">
        <v>0.3</v>
      </c>
      <c r="J226" s="80">
        <v>0.3</v>
      </c>
      <c r="K226" s="80">
        <v>0.3</v>
      </c>
      <c r="L226" s="80">
        <v>0.3</v>
      </c>
      <c r="M226" s="83">
        <v>0.3</v>
      </c>
      <c r="N226" s="82">
        <v>0.3</v>
      </c>
      <c r="O226" s="80">
        <v>0.3</v>
      </c>
      <c r="P226" s="291">
        <v>0.3</v>
      </c>
      <c r="Q226" s="82">
        <v>0.3</v>
      </c>
      <c r="R226" s="80">
        <v>0.3</v>
      </c>
      <c r="S226" s="80">
        <v>0.3</v>
      </c>
      <c r="T226" s="80">
        <v>0.3</v>
      </c>
      <c r="U226" s="83">
        <v>0.3</v>
      </c>
      <c r="V226" s="82">
        <v>0.3</v>
      </c>
      <c r="W226" s="80">
        <v>0.3</v>
      </c>
      <c r="X226" s="80">
        <v>0.3</v>
      </c>
      <c r="Y226" s="291">
        <v>0.3</v>
      </c>
      <c r="Z226" s="82">
        <v>0.3</v>
      </c>
      <c r="AA226" s="80">
        <v>0.3</v>
      </c>
      <c r="AB226" s="291">
        <v>0.3</v>
      </c>
      <c r="AC226" s="82">
        <v>0.3</v>
      </c>
      <c r="AD226" s="80">
        <v>0.3</v>
      </c>
      <c r="AE226" s="291">
        <v>0.3</v>
      </c>
      <c r="AF226" s="82">
        <v>0.3</v>
      </c>
      <c r="AG226" s="80">
        <v>0.3</v>
      </c>
      <c r="AH226" s="80">
        <v>0.3</v>
      </c>
      <c r="AI226" s="291">
        <v>0.3</v>
      </c>
    </row>
    <row r="227" spans="1:35" s="47" customFormat="1" ht="15" customHeight="1" x14ac:dyDescent="0.3">
      <c r="A227" s="50" t="s">
        <v>3</v>
      </c>
      <c r="B227" s="44" t="s">
        <v>278</v>
      </c>
      <c r="C227" s="9" t="s">
        <v>71</v>
      </c>
      <c r="D227" s="523" t="s">
        <v>52</v>
      </c>
      <c r="E227" s="103">
        <f t="shared" si="59"/>
        <v>72.928045267489722</v>
      </c>
      <c r="F227" s="96">
        <f t="shared" si="60"/>
        <v>1.6435086114921502</v>
      </c>
      <c r="G227" s="96">
        <f t="shared" si="61"/>
        <v>68.2</v>
      </c>
      <c r="H227" s="379">
        <f t="shared" si="62"/>
        <v>77.3</v>
      </c>
      <c r="I227" s="147">
        <v>74.400000000000006</v>
      </c>
      <c r="J227" s="137">
        <v>73</v>
      </c>
      <c r="K227" s="144">
        <v>73.5</v>
      </c>
      <c r="L227" s="137">
        <v>73.78</v>
      </c>
      <c r="M227" s="149">
        <v>74.2</v>
      </c>
      <c r="N227" s="147">
        <v>71.099999999999994</v>
      </c>
      <c r="O227" s="144">
        <v>69.2</v>
      </c>
      <c r="P227" s="290">
        <v>68.2</v>
      </c>
      <c r="Q227" s="147">
        <v>72.400000000000006</v>
      </c>
      <c r="R227" s="137">
        <v>73.7</v>
      </c>
      <c r="S227" s="144">
        <v>73.7</v>
      </c>
      <c r="T227" s="137">
        <v>72.655000000000001</v>
      </c>
      <c r="U227" s="149">
        <v>71.8</v>
      </c>
      <c r="V227" s="147">
        <v>75</v>
      </c>
      <c r="W227" s="137">
        <v>74.5</v>
      </c>
      <c r="X227" s="144">
        <v>74</v>
      </c>
      <c r="Y227" s="221">
        <v>72</v>
      </c>
      <c r="Z227" s="142">
        <v>71.7</v>
      </c>
      <c r="AA227" s="137">
        <v>70.977777777777789</v>
      </c>
      <c r="AB227" s="221">
        <v>70.400000000000006</v>
      </c>
      <c r="AC227" s="142">
        <v>72.8</v>
      </c>
      <c r="AD227" s="137">
        <v>71.74444444444444</v>
      </c>
      <c r="AE227" s="221">
        <v>70.900000000000006</v>
      </c>
      <c r="AF227" s="142">
        <v>74.400000000000006</v>
      </c>
      <c r="AG227" s="137">
        <v>75.366666666666674</v>
      </c>
      <c r="AH227" s="137">
        <v>76.333333333333329</v>
      </c>
      <c r="AI227" s="221">
        <v>77.3</v>
      </c>
    </row>
    <row r="228" spans="1:35" s="47" customFormat="1" ht="15" customHeight="1" x14ac:dyDescent="0.3">
      <c r="A228" s="50" t="s">
        <v>4</v>
      </c>
      <c r="B228" s="44" t="s">
        <v>153</v>
      </c>
      <c r="C228" s="9" t="s">
        <v>71</v>
      </c>
      <c r="D228" s="523" t="s">
        <v>52</v>
      </c>
      <c r="E228" s="103">
        <f t="shared" si="59"/>
        <v>77.26615226337448</v>
      </c>
      <c r="F228" s="96">
        <f t="shared" si="60"/>
        <v>2.4574089315653107</v>
      </c>
      <c r="G228" s="96">
        <f t="shared" si="61"/>
        <v>72.3</v>
      </c>
      <c r="H228" s="379">
        <f t="shared" si="62"/>
        <v>82.2</v>
      </c>
      <c r="I228" s="142">
        <v>74.599999999999994</v>
      </c>
      <c r="J228" s="137">
        <v>76.599999999999994</v>
      </c>
      <c r="K228" s="137">
        <v>75.5</v>
      </c>
      <c r="L228" s="137">
        <v>75.739999999999995</v>
      </c>
      <c r="M228" s="151">
        <v>76.099999999999994</v>
      </c>
      <c r="N228" s="142">
        <v>78.599999999999994</v>
      </c>
      <c r="O228" s="137">
        <v>78.599999999999994</v>
      </c>
      <c r="P228" s="290">
        <v>74.900000000000006</v>
      </c>
      <c r="Q228" s="142">
        <v>79</v>
      </c>
      <c r="R228" s="137">
        <v>79.599999999999994</v>
      </c>
      <c r="S228" s="137">
        <v>79.599999999999994</v>
      </c>
      <c r="T228" s="137">
        <v>78.334999999999994</v>
      </c>
      <c r="U228" s="151">
        <v>77.3</v>
      </c>
      <c r="V228" s="142">
        <v>80.2</v>
      </c>
      <c r="W228" s="137">
        <v>77.600000000000009</v>
      </c>
      <c r="X228" s="137">
        <v>75</v>
      </c>
      <c r="Y228" s="221">
        <v>75</v>
      </c>
      <c r="Z228" s="142">
        <v>75.3</v>
      </c>
      <c r="AA228" s="137">
        <v>73.633333333333326</v>
      </c>
      <c r="AB228" s="221">
        <v>72.3</v>
      </c>
      <c r="AC228" s="142">
        <v>76.7</v>
      </c>
      <c r="AD228" s="137">
        <v>74.477777777777774</v>
      </c>
      <c r="AE228" s="221">
        <v>72.7</v>
      </c>
      <c r="AF228" s="142">
        <v>82.2</v>
      </c>
      <c r="AG228" s="137">
        <v>82.2</v>
      </c>
      <c r="AH228" s="137">
        <v>82.2</v>
      </c>
      <c r="AI228" s="221">
        <v>82.2</v>
      </c>
    </row>
    <row r="229" spans="1:35" s="47" customFormat="1" ht="15" customHeight="1" x14ac:dyDescent="0.3">
      <c r="A229" s="50" t="s">
        <v>59</v>
      </c>
      <c r="B229" s="44" t="s">
        <v>26</v>
      </c>
      <c r="C229" s="9" t="s">
        <v>69</v>
      </c>
      <c r="D229" s="523" t="s">
        <v>52</v>
      </c>
      <c r="E229" s="101">
        <f t="shared" si="59"/>
        <v>0.1607962962962963</v>
      </c>
      <c r="F229" s="97">
        <f t="shared" si="60"/>
        <v>7.4765432098765433E-2</v>
      </c>
      <c r="G229" s="97">
        <f t="shared" si="61"/>
        <v>6.5000000000000002E-2</v>
      </c>
      <c r="H229" s="377">
        <f t="shared" si="62"/>
        <v>0.50800000000000001</v>
      </c>
      <c r="I229" s="147">
        <v>9.0999999999999998E-2</v>
      </c>
      <c r="J229" s="144">
        <v>0.114</v>
      </c>
      <c r="K229" s="144">
        <v>0.106</v>
      </c>
      <c r="L229" s="144">
        <v>0.126</v>
      </c>
      <c r="M229" s="149">
        <v>0.157</v>
      </c>
      <c r="N229" s="147">
        <v>7.1999999999999995E-2</v>
      </c>
      <c r="O229" s="144">
        <v>8.5999999999999993E-2</v>
      </c>
      <c r="P229" s="290">
        <v>0.114</v>
      </c>
      <c r="Q229" s="147">
        <v>0.13300000000000001</v>
      </c>
      <c r="R229" s="144">
        <v>0.151</v>
      </c>
      <c r="S229" s="144">
        <v>0.16500000000000001</v>
      </c>
      <c r="T229" s="144">
        <v>0.17</v>
      </c>
      <c r="U229" s="149">
        <v>0.17499999999999999</v>
      </c>
      <c r="V229" s="147">
        <v>6.5000000000000002E-2</v>
      </c>
      <c r="W229" s="144">
        <v>7.2999999999999995E-2</v>
      </c>
      <c r="X229" s="144">
        <v>0.08</v>
      </c>
      <c r="Y229" s="146">
        <v>0.107</v>
      </c>
      <c r="Z229" s="147">
        <v>0.14000000000000001</v>
      </c>
      <c r="AA229" s="144">
        <v>0.16750000000000001</v>
      </c>
      <c r="AB229" s="146">
        <v>0.19500000000000001</v>
      </c>
      <c r="AC229" s="147">
        <v>7.0000000000000007E-2</v>
      </c>
      <c r="AD229" s="144">
        <v>0.09</v>
      </c>
      <c r="AE229" s="146">
        <v>0.11</v>
      </c>
      <c r="AF229" s="147">
        <v>0.28199999999999997</v>
      </c>
      <c r="AG229" s="144">
        <v>0.36</v>
      </c>
      <c r="AH229" s="144">
        <v>0.434</v>
      </c>
      <c r="AI229" s="146">
        <v>0.50800000000000001</v>
      </c>
    </row>
    <row r="230" spans="1:35" s="47" customFormat="1" ht="15" customHeight="1" x14ac:dyDescent="0.3">
      <c r="A230" s="50" t="s">
        <v>51</v>
      </c>
      <c r="B230" s="44" t="s">
        <v>27</v>
      </c>
      <c r="C230" s="9" t="s">
        <v>69</v>
      </c>
      <c r="D230" s="523" t="s">
        <v>52</v>
      </c>
      <c r="E230" s="101">
        <f t="shared" si="59"/>
        <v>8.9722222222222217E-2</v>
      </c>
      <c r="F230" s="97">
        <f t="shared" si="60"/>
        <v>3.5333333333333335E-2</v>
      </c>
      <c r="G230" s="97">
        <f t="shared" si="61"/>
        <v>4.8000000000000001E-2</v>
      </c>
      <c r="H230" s="377">
        <f t="shared" si="62"/>
        <v>0.22700000000000001</v>
      </c>
      <c r="I230" s="13">
        <v>5.1999999999999998E-2</v>
      </c>
      <c r="J230" s="144">
        <v>7.8E-2</v>
      </c>
      <c r="K230" s="144">
        <v>6.9000000000000006E-2</v>
      </c>
      <c r="L230" s="140">
        <v>0.08</v>
      </c>
      <c r="M230" s="149">
        <v>9.8000000000000004E-2</v>
      </c>
      <c r="N230" s="139">
        <v>0.06</v>
      </c>
      <c r="O230" s="140">
        <v>0.06</v>
      </c>
      <c r="P230" s="290">
        <v>6.3E-2</v>
      </c>
      <c r="Q230" s="13">
        <v>6.7000000000000004E-2</v>
      </c>
      <c r="R230" s="144">
        <v>8.3000000000000004E-2</v>
      </c>
      <c r="S230" s="144">
        <v>0.10299999999999999</v>
      </c>
      <c r="T230" s="140">
        <v>9.2999999999999999E-2</v>
      </c>
      <c r="U230" s="149">
        <v>8.1000000000000003E-2</v>
      </c>
      <c r="V230" s="13">
        <v>4.8000000000000001E-2</v>
      </c>
      <c r="W230" s="144">
        <v>0.05</v>
      </c>
      <c r="X230" s="144">
        <v>5.1999999999999998E-2</v>
      </c>
      <c r="Y230" s="224">
        <v>5.1999999999999998E-2</v>
      </c>
      <c r="Z230" s="147">
        <v>8.5000000000000006E-2</v>
      </c>
      <c r="AA230" s="144">
        <v>9.2499999999999999E-2</v>
      </c>
      <c r="AB230" s="224">
        <v>0.1</v>
      </c>
      <c r="AC230" s="147">
        <v>4.9000000000000002E-2</v>
      </c>
      <c r="AD230" s="144">
        <v>5.2999999999999999E-2</v>
      </c>
      <c r="AE230" s="224">
        <v>5.6000000000000001E-2</v>
      </c>
      <c r="AF230" s="147">
        <v>0.11700000000000001</v>
      </c>
      <c r="AG230" s="144">
        <v>0.22700000000000001</v>
      </c>
      <c r="AH230" s="144">
        <v>0.22700000000000001</v>
      </c>
      <c r="AI230" s="224">
        <v>0.22700000000000001</v>
      </c>
    </row>
    <row r="231" spans="1:35" s="47" customFormat="1" ht="15" customHeight="1" x14ac:dyDescent="0.3">
      <c r="A231" s="52" t="s">
        <v>60</v>
      </c>
      <c r="B231" s="59" t="s">
        <v>28</v>
      </c>
      <c r="C231" s="9" t="s">
        <v>69</v>
      </c>
      <c r="D231" s="523" t="s">
        <v>52</v>
      </c>
      <c r="E231" s="101">
        <f t="shared" si="59"/>
        <v>9.296296296296299E-3</v>
      </c>
      <c r="F231" s="97">
        <f t="shared" si="60"/>
        <v>1.2949245541838104E-3</v>
      </c>
      <c r="G231" s="97">
        <f t="shared" si="61"/>
        <v>4.0000000000000001E-3</v>
      </c>
      <c r="H231" s="377">
        <f t="shared" si="62"/>
        <v>1.0999999999999999E-2</v>
      </c>
      <c r="I231" s="139">
        <v>1.0999999999999999E-2</v>
      </c>
      <c r="J231" s="140">
        <v>0.01</v>
      </c>
      <c r="K231" s="140">
        <v>4.0000000000000001E-3</v>
      </c>
      <c r="L231" s="140">
        <v>7.0000000000000001E-3</v>
      </c>
      <c r="M231" s="150">
        <v>1.0999999999999999E-2</v>
      </c>
      <c r="N231" s="139">
        <v>5.0000000000000001E-3</v>
      </c>
      <c r="O231" s="140">
        <v>5.0000000000000001E-3</v>
      </c>
      <c r="P231" s="84">
        <v>8.0000000000000002E-3</v>
      </c>
      <c r="Q231" s="139">
        <v>0.01</v>
      </c>
      <c r="R231" s="140">
        <v>0.01</v>
      </c>
      <c r="S231" s="140">
        <v>0.01</v>
      </c>
      <c r="T231" s="140">
        <v>0.01</v>
      </c>
      <c r="U231" s="150">
        <v>0.01</v>
      </c>
      <c r="V231" s="139">
        <v>0.01</v>
      </c>
      <c r="W231" s="140">
        <v>0.01</v>
      </c>
      <c r="X231" s="140">
        <v>0.01</v>
      </c>
      <c r="Y231" s="224">
        <v>0.01</v>
      </c>
      <c r="Z231" s="139">
        <v>0.01</v>
      </c>
      <c r="AA231" s="140">
        <v>0.01</v>
      </c>
      <c r="AB231" s="224">
        <v>0.01</v>
      </c>
      <c r="AC231" s="139">
        <v>0.01</v>
      </c>
      <c r="AD231" s="140">
        <v>0.01</v>
      </c>
      <c r="AE231" s="224">
        <v>0.01</v>
      </c>
      <c r="AF231" s="139">
        <v>0.01</v>
      </c>
      <c r="AG231" s="140">
        <v>0.01</v>
      </c>
      <c r="AH231" s="140">
        <v>0.01</v>
      </c>
      <c r="AI231" s="224">
        <v>0.01</v>
      </c>
    </row>
    <row r="232" spans="1:35" s="47" customFormat="1" ht="15" customHeight="1" x14ac:dyDescent="0.3">
      <c r="A232" s="50" t="s">
        <v>17</v>
      </c>
      <c r="B232" s="44" t="s">
        <v>101</v>
      </c>
      <c r="C232" s="9" t="s">
        <v>70</v>
      </c>
      <c r="D232" s="523" t="s">
        <v>52</v>
      </c>
      <c r="E232" s="101">
        <f t="shared" si="59"/>
        <v>0.94059259259259265</v>
      </c>
      <c r="F232" s="97">
        <f t="shared" si="60"/>
        <v>6.0658436213991817E-3</v>
      </c>
      <c r="G232" s="97">
        <f t="shared" si="61"/>
        <v>0.91700000000000004</v>
      </c>
      <c r="H232" s="377">
        <f t="shared" si="62"/>
        <v>0.95700000000000007</v>
      </c>
      <c r="I232" s="139">
        <f>94.6/100</f>
        <v>0.94599999999999995</v>
      </c>
      <c r="J232" s="140">
        <f>94.6/100</f>
        <v>0.94599999999999995</v>
      </c>
      <c r="K232" s="140">
        <f>94.7/100</f>
        <v>0.94700000000000006</v>
      </c>
      <c r="L232" s="140">
        <f>94.5/100</f>
        <v>0.94499999999999995</v>
      </c>
      <c r="M232" s="150">
        <f>94.3/100</f>
        <v>0.94299999999999995</v>
      </c>
      <c r="N232" s="139">
        <f>94/100</f>
        <v>0.94</v>
      </c>
      <c r="O232" s="140">
        <f>93.1/100</f>
        <v>0.93099999999999994</v>
      </c>
      <c r="P232" s="224">
        <f>91.7/100</f>
        <v>0.91700000000000004</v>
      </c>
      <c r="Q232" s="139">
        <v>0.93599999999999994</v>
      </c>
      <c r="R232" s="140">
        <v>0.93900000000000006</v>
      </c>
      <c r="S232" s="140">
        <v>0.94200000000000006</v>
      </c>
      <c r="T232" s="140">
        <v>0.94599999999999995</v>
      </c>
      <c r="U232" s="150">
        <v>0.95099999999999996</v>
      </c>
      <c r="V232" s="139">
        <v>0.93799999999999994</v>
      </c>
      <c r="W232" s="140">
        <v>0.93900000000000006</v>
      </c>
      <c r="X232" s="140">
        <v>0.94</v>
      </c>
      <c r="Y232" s="224">
        <v>0.94400000000000006</v>
      </c>
      <c r="Z232" s="139">
        <v>0.95700000000000007</v>
      </c>
      <c r="AA232" s="140">
        <v>0.95299999999999996</v>
      </c>
      <c r="AB232" s="224">
        <v>0.94900000000000007</v>
      </c>
      <c r="AC232" s="139">
        <v>0.93799999999999994</v>
      </c>
      <c r="AD232" s="140">
        <v>0.93500000000000005</v>
      </c>
      <c r="AE232" s="224">
        <v>0.93200000000000005</v>
      </c>
      <c r="AF232" s="139">
        <v>0.93700000000000006</v>
      </c>
      <c r="AG232" s="140">
        <v>0.93599999999999994</v>
      </c>
      <c r="AH232" s="140">
        <v>0.93500000000000005</v>
      </c>
      <c r="AI232" s="224">
        <v>0.93400000000000005</v>
      </c>
    </row>
    <row r="233" spans="1:35" s="47" customFormat="1" ht="15" customHeight="1" thickBot="1" x14ac:dyDescent="0.35">
      <c r="A233" s="54" t="s">
        <v>18</v>
      </c>
      <c r="B233" s="61" t="s">
        <v>102</v>
      </c>
      <c r="C233" s="10" t="s">
        <v>70</v>
      </c>
      <c r="D233" s="524" t="s">
        <v>52</v>
      </c>
      <c r="E233" s="104">
        <f t="shared" si="59"/>
        <v>0.93751851851851864</v>
      </c>
      <c r="F233" s="105">
        <f t="shared" si="60"/>
        <v>1.1305898491083606E-2</v>
      </c>
      <c r="G233" s="105">
        <f t="shared" si="61"/>
        <v>0.89400000000000002</v>
      </c>
      <c r="H233" s="380">
        <f t="shared" si="62"/>
        <v>0.96099999999999997</v>
      </c>
      <c r="I233" s="20">
        <f>92.5/100</f>
        <v>0.92500000000000004</v>
      </c>
      <c r="J233" s="11">
        <f>93.4/100</f>
        <v>0.93400000000000005</v>
      </c>
      <c r="K233" s="11">
        <f>94.2/100</f>
        <v>0.94200000000000006</v>
      </c>
      <c r="L233" s="11">
        <f>94.6/100</f>
        <v>0.94599999999999995</v>
      </c>
      <c r="M233" s="30">
        <f>95.1/100</f>
        <v>0.95099999999999996</v>
      </c>
      <c r="N233" s="20">
        <f>89.4/100</f>
        <v>0.89400000000000002</v>
      </c>
      <c r="O233" s="11">
        <f>89.4/100</f>
        <v>0.89400000000000002</v>
      </c>
      <c r="P233" s="12">
        <f>91/100</f>
        <v>0.91</v>
      </c>
      <c r="Q233" s="20">
        <v>0.94200000000000006</v>
      </c>
      <c r="R233" s="11">
        <v>0.94200000000000006</v>
      </c>
      <c r="S233" s="11">
        <v>0.93900000000000006</v>
      </c>
      <c r="T233" s="11">
        <v>0.94299999999999995</v>
      </c>
      <c r="U233" s="30">
        <v>0.94700000000000006</v>
      </c>
      <c r="V233" s="20">
        <v>0.94</v>
      </c>
      <c r="W233" s="11">
        <v>0.94200000000000006</v>
      </c>
      <c r="X233" s="11">
        <v>0.94299999999999995</v>
      </c>
      <c r="Y233" s="12">
        <v>0.94299999999999995</v>
      </c>
      <c r="Z233" s="20">
        <v>0.95900000000000007</v>
      </c>
      <c r="AA233" s="11">
        <v>0.96</v>
      </c>
      <c r="AB233" s="12">
        <v>0.96099999999999997</v>
      </c>
      <c r="AC233" s="20">
        <v>0.92099999999999993</v>
      </c>
      <c r="AD233" s="11">
        <v>0.93200000000000005</v>
      </c>
      <c r="AE233" s="12">
        <v>0.94299999999999995</v>
      </c>
      <c r="AF233" s="20">
        <v>0.94</v>
      </c>
      <c r="AG233" s="11">
        <v>0.94</v>
      </c>
      <c r="AH233" s="11">
        <v>0.94</v>
      </c>
      <c r="AI233" s="12">
        <v>0.94</v>
      </c>
    </row>
    <row r="234" spans="1:35" s="7" customFormat="1" ht="24.75" customHeight="1" thickBot="1" x14ac:dyDescent="0.35">
      <c r="A234" s="470"/>
      <c r="B234" s="470"/>
      <c r="C234" s="471"/>
      <c r="D234" s="471"/>
      <c r="E234" s="471"/>
      <c r="F234" s="471"/>
      <c r="G234" s="471"/>
      <c r="H234" s="471"/>
      <c r="I234" s="471"/>
      <c r="J234" s="471"/>
      <c r="K234" s="471"/>
      <c r="L234" s="471"/>
      <c r="M234" s="471"/>
      <c r="N234" s="471"/>
      <c r="O234" s="471"/>
      <c r="P234" s="471"/>
      <c r="Q234" s="471"/>
      <c r="R234" s="471"/>
      <c r="S234" s="471"/>
      <c r="T234" s="471"/>
      <c r="U234" s="471"/>
      <c r="V234" s="471"/>
      <c r="W234" s="471"/>
      <c r="X234" s="471"/>
      <c r="Y234" s="471"/>
      <c r="Z234" s="471"/>
      <c r="AA234" s="471"/>
      <c r="AB234" s="471"/>
      <c r="AC234" s="471"/>
      <c r="AD234" s="471"/>
    </row>
    <row r="235" spans="1:35" s="55" customFormat="1" ht="15" hidden="1" customHeight="1" thickBot="1" x14ac:dyDescent="0.35">
      <c r="A235" s="115" t="s">
        <v>127</v>
      </c>
      <c r="B235" s="116"/>
      <c r="C235" s="116"/>
      <c r="D235" s="375" t="s">
        <v>127</v>
      </c>
      <c r="E235" s="1013" t="s">
        <v>127</v>
      </c>
      <c r="F235" s="1014"/>
      <c r="G235" s="1014"/>
      <c r="H235" s="1015"/>
      <c r="I235" s="1013" t="s">
        <v>127</v>
      </c>
      <c r="J235" s="1014"/>
      <c r="K235" s="1014"/>
      <c r="L235" s="1015"/>
      <c r="M235" s="501"/>
      <c r="N235" s="501"/>
      <c r="O235" s="501"/>
      <c r="P235" s="501"/>
    </row>
    <row r="236" spans="1:35" s="48" customFormat="1" ht="40.049999999999997" hidden="1" customHeight="1" thickBot="1" x14ac:dyDescent="0.35">
      <c r="A236" s="1025">
        <f>COUNTA(I236:CA236)</f>
        <v>4</v>
      </c>
      <c r="B236" s="1025"/>
      <c r="C236" s="1026"/>
      <c r="D236" s="262" t="s">
        <v>0</v>
      </c>
      <c r="E236" s="110" t="s">
        <v>31</v>
      </c>
      <c r="F236" s="573" t="s">
        <v>512</v>
      </c>
      <c r="G236" s="111" t="s">
        <v>57</v>
      </c>
      <c r="H236" s="112" t="s">
        <v>58</v>
      </c>
      <c r="I236" s="24" t="s">
        <v>128</v>
      </c>
      <c r="J236" s="187" t="s">
        <v>129</v>
      </c>
      <c r="K236" s="187" t="s">
        <v>130</v>
      </c>
      <c r="L236" s="188" t="s">
        <v>131</v>
      </c>
      <c r="M236" s="113"/>
      <c r="N236" s="113"/>
      <c r="O236" s="113"/>
      <c r="P236" s="113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</row>
    <row r="237" spans="1:35" s="48" customFormat="1" ht="15" hidden="1" customHeight="1" thickBot="1" x14ac:dyDescent="0.35">
      <c r="A237" s="1027"/>
      <c r="B237" s="1027"/>
      <c r="C237" s="1028"/>
      <c r="D237" s="36" t="s">
        <v>33</v>
      </c>
      <c r="E237" s="971" t="s">
        <v>513</v>
      </c>
      <c r="F237" s="972"/>
      <c r="G237" s="972"/>
      <c r="H237" s="973"/>
      <c r="I237" s="1016" t="s">
        <v>29</v>
      </c>
      <c r="J237" s="1017"/>
      <c r="K237" s="1017"/>
      <c r="L237" s="1018"/>
      <c r="M237" s="113"/>
      <c r="N237" s="113"/>
      <c r="O237" s="113"/>
      <c r="P237" s="113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</row>
    <row r="238" spans="1:35" s="48" customFormat="1" ht="15" hidden="1" customHeight="1" thickBot="1" x14ac:dyDescent="0.35">
      <c r="A238" s="57" t="s">
        <v>54</v>
      </c>
      <c r="B238" s="58" t="s">
        <v>55</v>
      </c>
      <c r="C238" s="62" t="s">
        <v>1</v>
      </c>
      <c r="D238" s="56" t="s">
        <v>32</v>
      </c>
      <c r="E238" s="971"/>
      <c r="F238" s="972"/>
      <c r="G238" s="972"/>
      <c r="H238" s="973"/>
      <c r="I238" s="1016"/>
      <c r="J238" s="1017"/>
      <c r="K238" s="1017"/>
      <c r="L238" s="1018"/>
      <c r="M238" s="113"/>
      <c r="N238" s="113"/>
      <c r="O238" s="113"/>
      <c r="P238" s="113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</row>
    <row r="239" spans="1:35" s="48" customFormat="1" ht="15" hidden="1" customHeight="1" x14ac:dyDescent="0.3">
      <c r="A239" s="46" t="s">
        <v>5</v>
      </c>
      <c r="B239" s="60" t="s">
        <v>21</v>
      </c>
      <c r="C239" s="8" t="s">
        <v>69</v>
      </c>
      <c r="D239" s="522" t="s">
        <v>52</v>
      </c>
      <c r="E239" s="99">
        <f>AVERAGE(I239:BY239)</f>
        <v>17.95</v>
      </c>
      <c r="F239" s="100">
        <f>AVEDEV(I239:BY239)</f>
        <v>5.5</v>
      </c>
      <c r="G239" s="100">
        <f>MIN(I239:BY239)</f>
        <v>9.9</v>
      </c>
      <c r="H239" s="376">
        <f>MAX(I239:BY239)</f>
        <v>25.9</v>
      </c>
      <c r="I239" s="181">
        <v>9.9</v>
      </c>
      <c r="J239" s="182">
        <v>15</v>
      </c>
      <c r="K239" s="182">
        <v>21</v>
      </c>
      <c r="L239" s="183">
        <v>25.9</v>
      </c>
      <c r="M239" s="113"/>
      <c r="N239" s="113"/>
      <c r="O239" s="113"/>
      <c r="P239" s="113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</row>
    <row r="240" spans="1:35" s="48" customFormat="1" ht="15" hidden="1" customHeight="1" x14ac:dyDescent="0.3">
      <c r="A240" s="50" t="s">
        <v>6</v>
      </c>
      <c r="B240" s="44" t="s">
        <v>22</v>
      </c>
      <c r="C240" s="9" t="s">
        <v>70</v>
      </c>
      <c r="D240" s="523" t="s">
        <v>52</v>
      </c>
      <c r="E240" s="101"/>
      <c r="F240" s="97"/>
      <c r="G240" s="97"/>
      <c r="H240" s="377"/>
      <c r="I240" s="179"/>
      <c r="J240" s="174"/>
      <c r="K240" s="174"/>
      <c r="L240" s="180"/>
      <c r="M240" s="113"/>
      <c r="N240" s="113"/>
      <c r="O240" s="113"/>
      <c r="P240" s="113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</row>
    <row r="241" spans="1:30" s="48" customFormat="1" ht="15" hidden="1" customHeight="1" x14ac:dyDescent="0.3">
      <c r="A241" s="50" t="s">
        <v>64</v>
      </c>
      <c r="B241" s="59" t="s">
        <v>103</v>
      </c>
      <c r="C241" s="9" t="s">
        <v>70</v>
      </c>
      <c r="D241" s="523" t="s">
        <v>61</v>
      </c>
      <c r="E241" s="102">
        <f t="shared" ref="E241:E248" si="63">AVERAGE(I241:BY241)</f>
        <v>0.28637614678899087</v>
      </c>
      <c r="F241" s="98">
        <f t="shared" ref="F241:F248" si="64">AVEDEV(I241:BY241)</f>
        <v>3.6238532110091509E-3</v>
      </c>
      <c r="G241" s="98">
        <f t="shared" ref="G241:G248" si="65">MIN(I241:BY241)</f>
        <v>0.28000000000000003</v>
      </c>
      <c r="H241" s="378">
        <f t="shared" ref="H241:H248" si="66">MAX(I241:BY241)</f>
        <v>0.28999999999999998</v>
      </c>
      <c r="I241" s="175">
        <v>0.28999999999999998</v>
      </c>
      <c r="J241" s="172">
        <v>0.28000000000000003</v>
      </c>
      <c r="K241" s="172">
        <v>0.28550458715596333</v>
      </c>
      <c r="L241" s="176">
        <v>0.28999999999999998</v>
      </c>
      <c r="M241" s="113"/>
      <c r="N241" s="113"/>
      <c r="O241" s="113"/>
      <c r="P241" s="113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</row>
    <row r="242" spans="1:30" s="48" customFormat="1" ht="15" hidden="1" customHeight="1" x14ac:dyDescent="0.3">
      <c r="A242" s="50" t="s">
        <v>3</v>
      </c>
      <c r="B242" s="44" t="s">
        <v>104</v>
      </c>
      <c r="C242" s="9" t="s">
        <v>71</v>
      </c>
      <c r="D242" s="523" t="s">
        <v>52</v>
      </c>
      <c r="E242" s="103">
        <f t="shared" si="63"/>
        <v>70.658715596330268</v>
      </c>
      <c r="F242" s="96">
        <f t="shared" si="64"/>
        <v>0.62064220183486185</v>
      </c>
      <c r="G242" s="96">
        <f t="shared" si="65"/>
        <v>70.099999999999994</v>
      </c>
      <c r="H242" s="379">
        <f t="shared" si="66"/>
        <v>71.900000000000006</v>
      </c>
      <c r="I242" s="177">
        <v>71.900000000000006</v>
      </c>
      <c r="J242" s="173">
        <v>70.400000000000006</v>
      </c>
      <c r="K242" s="172">
        <v>70.234862385321094</v>
      </c>
      <c r="L242" s="178">
        <v>70.099999999999994</v>
      </c>
      <c r="M242" s="113"/>
      <c r="N242" s="113"/>
      <c r="O242" s="113"/>
      <c r="P242" s="113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</row>
    <row r="243" spans="1:30" s="48" customFormat="1" ht="15" hidden="1" customHeight="1" x14ac:dyDescent="0.3">
      <c r="A243" s="50" t="s">
        <v>4</v>
      </c>
      <c r="B243" s="44" t="s">
        <v>106</v>
      </c>
      <c r="C243" s="9" t="s">
        <v>71</v>
      </c>
      <c r="D243" s="523" t="s">
        <v>52</v>
      </c>
      <c r="E243" s="103">
        <f t="shared" si="63"/>
        <v>77.30756880733945</v>
      </c>
      <c r="F243" s="96">
        <f t="shared" si="64"/>
        <v>0.34243119266055189</v>
      </c>
      <c r="G243" s="96">
        <f t="shared" si="65"/>
        <v>76.8</v>
      </c>
      <c r="H243" s="379">
        <f t="shared" si="66"/>
        <v>77.900000000000006</v>
      </c>
      <c r="I243" s="189">
        <v>77.900000000000006</v>
      </c>
      <c r="J243" s="190">
        <v>76.8</v>
      </c>
      <c r="K243" s="172">
        <v>77.130275229357807</v>
      </c>
      <c r="L243" s="191">
        <v>77.400000000000006</v>
      </c>
      <c r="M243" s="113"/>
      <c r="N243" s="113"/>
      <c r="O243" s="113"/>
      <c r="P243" s="113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</row>
    <row r="244" spans="1:30" s="48" customFormat="1" ht="15" hidden="1" customHeight="1" x14ac:dyDescent="0.3">
      <c r="A244" s="50" t="s">
        <v>59</v>
      </c>
      <c r="B244" s="44" t="s">
        <v>26</v>
      </c>
      <c r="C244" s="9" t="s">
        <v>69</v>
      </c>
      <c r="D244" s="523" t="s">
        <v>52</v>
      </c>
      <c r="E244" s="101">
        <f t="shared" si="63"/>
        <v>3.7564220183486235E-2</v>
      </c>
      <c r="F244" s="97">
        <f t="shared" si="64"/>
        <v>7.0642201834862388E-3</v>
      </c>
      <c r="G244" s="97">
        <f t="shared" si="65"/>
        <v>2.8000000000000001E-2</v>
      </c>
      <c r="H244" s="377">
        <f t="shared" si="66"/>
        <v>4.8000000000000001E-2</v>
      </c>
      <c r="I244" s="177">
        <v>2.8000000000000001E-2</v>
      </c>
      <c r="J244" s="173">
        <v>3.3000000000000002E-2</v>
      </c>
      <c r="K244" s="174">
        <v>4.1256880733944956E-2</v>
      </c>
      <c r="L244" s="178">
        <v>4.8000000000000001E-2</v>
      </c>
      <c r="M244" s="113"/>
      <c r="N244" s="113"/>
      <c r="O244" s="113"/>
      <c r="P244" s="113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</row>
    <row r="245" spans="1:30" s="48" customFormat="1" ht="15" hidden="1" customHeight="1" x14ac:dyDescent="0.3">
      <c r="A245" s="50" t="s">
        <v>51</v>
      </c>
      <c r="B245" s="44" t="s">
        <v>27</v>
      </c>
      <c r="C245" s="9" t="s">
        <v>69</v>
      </c>
      <c r="D245" s="523" t="s">
        <v>52</v>
      </c>
      <c r="E245" s="101">
        <f t="shared" si="63"/>
        <v>1.8662844036697251E-2</v>
      </c>
      <c r="F245" s="97">
        <f t="shared" si="64"/>
        <v>1.6628440366972487E-3</v>
      </c>
      <c r="G245" s="97">
        <f t="shared" si="65"/>
        <v>1.6E-2</v>
      </c>
      <c r="H245" s="377">
        <f t="shared" si="66"/>
        <v>2.1000000000000001E-2</v>
      </c>
      <c r="I245" s="177">
        <v>1.6E-2</v>
      </c>
      <c r="J245" s="173">
        <v>1.7999999999999999E-2</v>
      </c>
      <c r="K245" s="174">
        <v>1.9651376146788992E-2</v>
      </c>
      <c r="L245" s="178">
        <v>2.1000000000000001E-2</v>
      </c>
      <c r="M245" s="113"/>
      <c r="N245" s="113"/>
      <c r="O245" s="113"/>
      <c r="P245" s="113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</row>
    <row r="246" spans="1:30" s="48" customFormat="1" ht="15" hidden="1" customHeight="1" x14ac:dyDescent="0.3">
      <c r="A246" s="52" t="s">
        <v>60</v>
      </c>
      <c r="B246" s="59" t="s">
        <v>28</v>
      </c>
      <c r="C246" s="9" t="s">
        <v>69</v>
      </c>
      <c r="D246" s="523" t="s">
        <v>52</v>
      </c>
      <c r="E246" s="101">
        <f t="shared" si="63"/>
        <v>6.0000000000000001E-3</v>
      </c>
      <c r="F246" s="97">
        <f t="shared" si="64"/>
        <v>0</v>
      </c>
      <c r="G246" s="97">
        <f t="shared" si="65"/>
        <v>6.0000000000000001E-3</v>
      </c>
      <c r="H246" s="377">
        <f t="shared" si="66"/>
        <v>6.0000000000000001E-3</v>
      </c>
      <c r="I246" s="179">
        <v>6.0000000000000001E-3</v>
      </c>
      <c r="J246" s="174">
        <v>6.0000000000000001E-3</v>
      </c>
      <c r="K246" s="174">
        <v>6.0000000000000001E-3</v>
      </c>
      <c r="L246" s="180">
        <v>6.0000000000000001E-3</v>
      </c>
      <c r="M246" s="113"/>
      <c r="N246" s="113"/>
      <c r="O246" s="113"/>
      <c r="P246" s="113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</row>
    <row r="247" spans="1:30" s="48" customFormat="1" ht="15" hidden="1" customHeight="1" x14ac:dyDescent="0.3">
      <c r="A247" s="50" t="s">
        <v>17</v>
      </c>
      <c r="B247" s="44" t="s">
        <v>101</v>
      </c>
      <c r="C247" s="9" t="s">
        <v>70</v>
      </c>
      <c r="D247" s="523" t="s">
        <v>52</v>
      </c>
      <c r="E247" s="101">
        <f t="shared" si="63"/>
        <v>0.93988761467889903</v>
      </c>
      <c r="F247" s="97">
        <f t="shared" si="64"/>
        <v>2.0561926605505432E-3</v>
      </c>
      <c r="G247" s="97">
        <f t="shared" si="65"/>
        <v>0.93799999999999994</v>
      </c>
      <c r="H247" s="377">
        <f t="shared" si="66"/>
        <v>0.94399999999999995</v>
      </c>
      <c r="I247" s="179">
        <v>0.94399999999999995</v>
      </c>
      <c r="J247" s="174">
        <v>0.93799999999999994</v>
      </c>
      <c r="K247" s="174">
        <v>0.93855045871559595</v>
      </c>
      <c r="L247" s="180">
        <v>0.93899999999999995</v>
      </c>
      <c r="M247" s="113"/>
      <c r="N247" s="113"/>
      <c r="O247" s="113"/>
      <c r="P247" s="113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</row>
    <row r="248" spans="1:30" s="48" customFormat="1" ht="15" hidden="1" customHeight="1" thickBot="1" x14ac:dyDescent="0.35">
      <c r="A248" s="54" t="s">
        <v>18</v>
      </c>
      <c r="B248" s="61" t="s">
        <v>102</v>
      </c>
      <c r="C248" s="10" t="s">
        <v>70</v>
      </c>
      <c r="D248" s="524" t="s">
        <v>52</v>
      </c>
      <c r="E248" s="104">
        <f t="shared" si="63"/>
        <v>0.92097706422018355</v>
      </c>
      <c r="F248" s="105">
        <f t="shared" si="64"/>
        <v>1.2977064220183465E-2</v>
      </c>
      <c r="G248" s="105">
        <f t="shared" si="65"/>
        <v>0.89600000000000002</v>
      </c>
      <c r="H248" s="380">
        <f t="shared" si="66"/>
        <v>0.93799999999999994</v>
      </c>
      <c r="I248" s="184">
        <v>0.89600000000000002</v>
      </c>
      <c r="J248" s="185">
        <v>0.92</v>
      </c>
      <c r="K248" s="185">
        <v>0.92990825688073397</v>
      </c>
      <c r="L248" s="186">
        <v>0.93799999999999994</v>
      </c>
      <c r="M248" s="113"/>
      <c r="N248" s="113"/>
      <c r="O248" s="113"/>
      <c r="P248" s="113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</row>
    <row r="249" spans="1:30" s="37" customFormat="1" ht="25.05" hidden="1" customHeight="1" thickBot="1" x14ac:dyDescent="0.35">
      <c r="A249" s="69"/>
      <c r="B249" s="69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</row>
    <row r="250" spans="1:30" s="48" customFormat="1" ht="15" hidden="1" customHeight="1" thickBot="1" x14ac:dyDescent="0.35">
      <c r="A250" s="169" t="s">
        <v>119</v>
      </c>
      <c r="B250" s="170"/>
      <c r="C250" s="170"/>
      <c r="D250" s="374" t="s">
        <v>119</v>
      </c>
      <c r="E250" s="1013" t="s">
        <v>119</v>
      </c>
      <c r="F250" s="1014"/>
      <c r="G250" s="1014"/>
      <c r="H250" s="1015"/>
      <c r="I250" s="171" t="s">
        <v>119</v>
      </c>
      <c r="J250" s="912" t="s">
        <v>119</v>
      </c>
      <c r="K250" s="913"/>
      <c r="L250" s="914"/>
      <c r="M250" s="113"/>
      <c r="N250" s="113"/>
      <c r="O250" s="113"/>
      <c r="P250" s="113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</row>
    <row r="251" spans="1:30" s="48" customFormat="1" ht="40.049999999999997" hidden="1" customHeight="1" thickBot="1" x14ac:dyDescent="0.35">
      <c r="A251" s="1025">
        <f>COUNTA(I251:CA251)</f>
        <v>4</v>
      </c>
      <c r="B251" s="1025"/>
      <c r="C251" s="1026"/>
      <c r="D251" s="262" t="s">
        <v>0</v>
      </c>
      <c r="E251" s="110" t="s">
        <v>31</v>
      </c>
      <c r="F251" s="573" t="s">
        <v>512</v>
      </c>
      <c r="G251" s="111" t="s">
        <v>57</v>
      </c>
      <c r="H251" s="112" t="s">
        <v>58</v>
      </c>
      <c r="I251" s="265" t="s">
        <v>120</v>
      </c>
      <c r="J251" s="264" t="s">
        <v>178</v>
      </c>
      <c r="K251" s="263" t="s">
        <v>176</v>
      </c>
      <c r="L251" s="266" t="s">
        <v>177</v>
      </c>
      <c r="N251" s="113"/>
      <c r="O251" s="113"/>
      <c r="P251" s="113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</row>
    <row r="252" spans="1:30" s="48" customFormat="1" ht="15" hidden="1" customHeight="1" thickBot="1" x14ac:dyDescent="0.35">
      <c r="A252" s="1027"/>
      <c r="B252" s="1027"/>
      <c r="C252" s="1028"/>
      <c r="D252" s="36" t="s">
        <v>33</v>
      </c>
      <c r="E252" s="971" t="s">
        <v>513</v>
      </c>
      <c r="F252" s="972"/>
      <c r="G252" s="972"/>
      <c r="H252" s="973"/>
      <c r="I252" s="1022" t="s">
        <v>29</v>
      </c>
      <c r="J252" s="988" t="s">
        <v>29</v>
      </c>
      <c r="K252" s="989"/>
      <c r="L252" s="990"/>
      <c r="N252" s="113"/>
      <c r="O252" s="113"/>
      <c r="P252" s="113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</row>
    <row r="253" spans="1:30" s="48" customFormat="1" ht="15" hidden="1" customHeight="1" thickBot="1" x14ac:dyDescent="0.35">
      <c r="A253" s="163" t="s">
        <v>121</v>
      </c>
      <c r="B253" s="122" t="s">
        <v>55</v>
      </c>
      <c r="C253" s="62" t="s">
        <v>1</v>
      </c>
      <c r="D253" s="56" t="s">
        <v>32</v>
      </c>
      <c r="E253" s="971"/>
      <c r="F253" s="972"/>
      <c r="G253" s="972"/>
      <c r="H253" s="973"/>
      <c r="I253" s="1022"/>
      <c r="J253" s="1016"/>
      <c r="K253" s="1017"/>
      <c r="L253" s="1018"/>
      <c r="N253" s="113"/>
      <c r="O253" s="113"/>
      <c r="P253" s="113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</row>
    <row r="254" spans="1:30" s="48" customFormat="1" ht="15" hidden="1" customHeight="1" x14ac:dyDescent="0.3">
      <c r="A254" s="46" t="s">
        <v>5</v>
      </c>
      <c r="B254" s="60" t="s">
        <v>21</v>
      </c>
      <c r="C254" s="8" t="s">
        <v>69</v>
      </c>
      <c r="D254" s="522" t="s">
        <v>52</v>
      </c>
      <c r="E254" s="99">
        <f>AVERAGE(I254:BY254)</f>
        <v>43.625</v>
      </c>
      <c r="F254" s="100">
        <f>AVEDEV(I254:BY254)</f>
        <v>28.1875</v>
      </c>
      <c r="G254" s="100">
        <f>MIN(I254:BY254)</f>
        <v>14.5</v>
      </c>
      <c r="H254" s="376">
        <f>MAX(I254:BY254)</f>
        <v>100</v>
      </c>
      <c r="I254" s="267">
        <v>100</v>
      </c>
      <c r="J254" s="276">
        <v>14.5</v>
      </c>
      <c r="K254" s="277">
        <v>25</v>
      </c>
      <c r="L254" s="278">
        <v>35</v>
      </c>
      <c r="N254" s="113"/>
      <c r="O254" s="113"/>
      <c r="P254" s="113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</row>
    <row r="255" spans="1:30" s="48" customFormat="1" ht="15" hidden="1" customHeight="1" x14ac:dyDescent="0.3">
      <c r="A255" s="50" t="s">
        <v>6</v>
      </c>
      <c r="B255" s="44" t="s">
        <v>22</v>
      </c>
      <c r="C255" s="9" t="s">
        <v>70</v>
      </c>
      <c r="D255" s="523" t="s">
        <v>52</v>
      </c>
      <c r="E255" s="101"/>
      <c r="F255" s="97"/>
      <c r="G255" s="97"/>
      <c r="H255" s="377"/>
      <c r="I255" s="268"/>
      <c r="J255" s="279"/>
      <c r="K255" s="275"/>
      <c r="L255" s="274"/>
      <c r="N255" s="113"/>
      <c r="O255" s="113"/>
      <c r="P255" s="113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</row>
    <row r="256" spans="1:30" s="48" customFormat="1" ht="15" hidden="1" customHeight="1" x14ac:dyDescent="0.3">
      <c r="A256" s="50" t="s">
        <v>64</v>
      </c>
      <c r="B256" s="59" t="s">
        <v>23</v>
      </c>
      <c r="C256" s="9" t="s">
        <v>70</v>
      </c>
      <c r="D256" s="523" t="s">
        <v>61</v>
      </c>
      <c r="E256" s="102">
        <f t="shared" ref="E256:E263" si="67">AVERAGE(I256:BY256)</f>
        <v>0.28999999999999998</v>
      </c>
      <c r="F256" s="98">
        <f t="shared" ref="F256:F263" si="68">AVEDEV(I256:BY256)</f>
        <v>0</v>
      </c>
      <c r="G256" s="98">
        <f t="shared" ref="G256:G263" si="69">MIN(I256:BY256)</f>
        <v>0.28999999999999998</v>
      </c>
      <c r="H256" s="378">
        <f t="shared" ref="H256:H263" si="70">MAX(I256:BY256)</f>
        <v>0.28999999999999998</v>
      </c>
      <c r="I256" s="269">
        <v>0.28999999999999998</v>
      </c>
      <c r="J256" s="167"/>
      <c r="K256" s="168"/>
      <c r="L256" s="223"/>
      <c r="N256" s="113"/>
      <c r="O256" s="113"/>
      <c r="P256" s="113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</row>
    <row r="257" spans="1:37" s="48" customFormat="1" ht="15" hidden="1" customHeight="1" x14ac:dyDescent="0.3">
      <c r="A257" s="50" t="s">
        <v>3</v>
      </c>
      <c r="B257" s="44" t="s">
        <v>24</v>
      </c>
      <c r="C257" s="9" t="s">
        <v>71</v>
      </c>
      <c r="D257" s="523" t="s">
        <v>52</v>
      </c>
      <c r="E257" s="103">
        <f t="shared" si="67"/>
        <v>74.525000000000006</v>
      </c>
      <c r="F257" s="96">
        <f t="shared" si="68"/>
        <v>5.2375000000000043</v>
      </c>
      <c r="G257" s="96">
        <f t="shared" si="69"/>
        <v>70.099999999999994</v>
      </c>
      <c r="H257" s="379">
        <f t="shared" si="70"/>
        <v>85</v>
      </c>
      <c r="I257" s="270">
        <v>85</v>
      </c>
      <c r="J257" s="295">
        <v>70.099999999999994</v>
      </c>
      <c r="K257" s="296">
        <v>71.5</v>
      </c>
      <c r="L257" s="297">
        <v>71.5</v>
      </c>
      <c r="N257" s="113"/>
      <c r="O257" s="113"/>
      <c r="P257" s="113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</row>
    <row r="258" spans="1:37" s="48" customFormat="1" ht="15" hidden="1" customHeight="1" x14ac:dyDescent="0.3">
      <c r="A258" s="50" t="s">
        <v>4</v>
      </c>
      <c r="B258" s="44" t="s">
        <v>25</v>
      </c>
      <c r="C258" s="9" t="s">
        <v>71</v>
      </c>
      <c r="D258" s="523" t="s">
        <v>52</v>
      </c>
      <c r="E258" s="103">
        <f t="shared" si="67"/>
        <v>75.900000000000006</v>
      </c>
      <c r="F258" s="96">
        <f t="shared" si="68"/>
        <v>4.5500000000000043</v>
      </c>
      <c r="G258" s="96">
        <f t="shared" si="69"/>
        <v>72.3</v>
      </c>
      <c r="H258" s="379">
        <f t="shared" si="70"/>
        <v>85</v>
      </c>
      <c r="I258" s="270">
        <v>85</v>
      </c>
      <c r="J258" s="295">
        <v>74</v>
      </c>
      <c r="K258" s="296">
        <v>72.3</v>
      </c>
      <c r="L258" s="297">
        <v>72.3</v>
      </c>
      <c r="N258" s="113"/>
      <c r="O258" s="113"/>
      <c r="P258" s="113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</row>
    <row r="259" spans="1:37" s="48" customFormat="1" ht="15" hidden="1" customHeight="1" x14ac:dyDescent="0.3">
      <c r="A259" s="50" t="s">
        <v>122</v>
      </c>
      <c r="B259" s="44" t="s">
        <v>26</v>
      </c>
      <c r="C259" s="9" t="s">
        <v>69</v>
      </c>
      <c r="D259" s="523" t="s">
        <v>52</v>
      </c>
      <c r="E259" s="101">
        <f t="shared" si="67"/>
        <v>8.5499999999999993E-2</v>
      </c>
      <c r="F259" s="97">
        <f t="shared" si="68"/>
        <v>6.2249999999999986E-2</v>
      </c>
      <c r="G259" s="97">
        <f t="shared" si="69"/>
        <v>3.7999999999999999E-2</v>
      </c>
      <c r="H259" s="377">
        <f t="shared" si="70"/>
        <v>0.21</v>
      </c>
      <c r="I259" s="271">
        <v>0.21</v>
      </c>
      <c r="J259" s="298">
        <v>3.7999999999999999E-2</v>
      </c>
      <c r="K259" s="299">
        <v>4.7E-2</v>
      </c>
      <c r="L259" s="78">
        <v>4.7E-2</v>
      </c>
      <c r="N259" s="113"/>
      <c r="O259" s="113"/>
      <c r="P259" s="113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</row>
    <row r="260" spans="1:37" s="48" customFormat="1" ht="15" hidden="1" customHeight="1" x14ac:dyDescent="0.3">
      <c r="A260" s="50" t="s">
        <v>123</v>
      </c>
      <c r="B260" s="44" t="s">
        <v>27</v>
      </c>
      <c r="C260" s="9" t="s">
        <v>69</v>
      </c>
      <c r="D260" s="523" t="s">
        <v>52</v>
      </c>
      <c r="E260" s="101">
        <f t="shared" si="67"/>
        <v>3.9E-2</v>
      </c>
      <c r="F260" s="97">
        <f t="shared" si="68"/>
        <v>2.9000000000000001E-2</v>
      </c>
      <c r="G260" s="97">
        <f t="shared" si="69"/>
        <v>1.9E-2</v>
      </c>
      <c r="H260" s="377">
        <f t="shared" si="70"/>
        <v>9.7000000000000003E-2</v>
      </c>
      <c r="I260" s="269">
        <v>9.7000000000000003E-2</v>
      </c>
      <c r="J260" s="298">
        <v>1.9E-2</v>
      </c>
      <c r="K260" s="299">
        <v>0.02</v>
      </c>
      <c r="L260" s="78">
        <v>0.02</v>
      </c>
      <c r="N260" s="113"/>
      <c r="O260" s="113"/>
      <c r="P260" s="113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</row>
    <row r="261" spans="1:37" s="48" customFormat="1" ht="15" hidden="1" customHeight="1" x14ac:dyDescent="0.3">
      <c r="A261" s="52" t="s">
        <v>124</v>
      </c>
      <c r="B261" s="59" t="s">
        <v>28</v>
      </c>
      <c r="C261" s="9" t="s">
        <v>69</v>
      </c>
      <c r="D261" s="523" t="s">
        <v>52</v>
      </c>
      <c r="E261" s="101">
        <f t="shared" si="67"/>
        <v>9.75E-3</v>
      </c>
      <c r="F261" s="97">
        <f t="shared" si="68"/>
        <v>4.1249999999999993E-3</v>
      </c>
      <c r="G261" s="97">
        <f t="shared" si="69"/>
        <v>7.0000000000000001E-3</v>
      </c>
      <c r="H261" s="377">
        <f t="shared" si="70"/>
        <v>1.7999999999999999E-2</v>
      </c>
      <c r="I261" s="272">
        <v>1.7999999999999999E-2</v>
      </c>
      <c r="J261" s="304">
        <v>7.0000000000000001E-3</v>
      </c>
      <c r="K261" s="305">
        <v>7.0000000000000001E-3</v>
      </c>
      <c r="L261" s="300">
        <v>7.0000000000000001E-3</v>
      </c>
      <c r="N261" s="113"/>
      <c r="O261" s="113"/>
      <c r="P261" s="113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</row>
    <row r="262" spans="1:37" s="48" customFormat="1" ht="15" hidden="1" customHeight="1" x14ac:dyDescent="0.3">
      <c r="A262" s="50" t="s">
        <v>17</v>
      </c>
      <c r="B262" s="44" t="s">
        <v>125</v>
      </c>
      <c r="C262" s="9" t="s">
        <v>70</v>
      </c>
      <c r="D262" s="523" t="s">
        <v>52</v>
      </c>
      <c r="E262" s="101">
        <f t="shared" si="67"/>
        <v>0.94924999999999993</v>
      </c>
      <c r="F262" s="97">
        <f t="shared" si="68"/>
        <v>8.6249999999999938E-3</v>
      </c>
      <c r="G262" s="97">
        <f t="shared" si="69"/>
        <v>0.93200000000000005</v>
      </c>
      <c r="H262" s="377">
        <f t="shared" si="70"/>
        <v>0.95699999999999996</v>
      </c>
      <c r="I262" s="271">
        <v>0.93200000000000005</v>
      </c>
      <c r="J262" s="304">
        <v>0.95699999999999996</v>
      </c>
      <c r="K262" s="305">
        <v>0.95399999999999996</v>
      </c>
      <c r="L262" s="300">
        <v>0.95399999999999996</v>
      </c>
      <c r="N262" s="113"/>
      <c r="O262" s="113"/>
      <c r="P262" s="113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</row>
    <row r="263" spans="1:37" s="48" customFormat="1" ht="15" hidden="1" customHeight="1" thickBot="1" x14ac:dyDescent="0.35">
      <c r="A263" s="54" t="s">
        <v>18</v>
      </c>
      <c r="B263" s="61" t="s">
        <v>126</v>
      </c>
      <c r="C263" s="10" t="s">
        <v>70</v>
      </c>
      <c r="D263" s="524" t="s">
        <v>52</v>
      </c>
      <c r="E263" s="104">
        <f t="shared" si="67"/>
        <v>0.93175000000000008</v>
      </c>
      <c r="F263" s="105">
        <f t="shared" si="68"/>
        <v>7.2499999999999509E-3</v>
      </c>
      <c r="G263" s="105">
        <f t="shared" si="69"/>
        <v>0.92100000000000004</v>
      </c>
      <c r="H263" s="380">
        <f t="shared" si="70"/>
        <v>0.93899999999999995</v>
      </c>
      <c r="I263" s="273">
        <v>0.92100000000000004</v>
      </c>
      <c r="J263" s="302">
        <v>0.92800000000000005</v>
      </c>
      <c r="K263" s="303">
        <v>0.93899999999999995</v>
      </c>
      <c r="L263" s="301">
        <v>0.93899999999999995</v>
      </c>
      <c r="N263" s="113"/>
      <c r="O263" s="113"/>
      <c r="P263" s="113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</row>
    <row r="264" spans="1:37" s="37" customFormat="1" ht="25.05" hidden="1" customHeight="1" thickBot="1" x14ac:dyDescent="0.35">
      <c r="A264" s="69"/>
      <c r="B264" s="69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</row>
    <row r="265" spans="1:37" s="55" customFormat="1" ht="15" customHeight="1" thickBot="1" x14ac:dyDescent="0.35">
      <c r="A265" s="115" t="s">
        <v>8</v>
      </c>
      <c r="B265" s="116"/>
      <c r="C265" s="116"/>
      <c r="D265" s="375" t="s">
        <v>8</v>
      </c>
      <c r="E265" s="1013" t="s">
        <v>8</v>
      </c>
      <c r="F265" s="1014"/>
      <c r="G265" s="1014"/>
      <c r="H265" s="1015"/>
      <c r="I265" s="864" t="s">
        <v>8</v>
      </c>
      <c r="J265" s="865"/>
      <c r="K265" s="865"/>
      <c r="L265" s="865"/>
      <c r="M265" s="865"/>
      <c r="N265" s="865"/>
      <c r="O265" s="865"/>
      <c r="P265" s="865"/>
      <c r="Q265" s="865"/>
      <c r="R265" s="865"/>
      <c r="S265" s="865"/>
      <c r="T265" s="312"/>
      <c r="U265" s="912" t="s">
        <v>8</v>
      </c>
      <c r="V265" s="913"/>
      <c r="W265" s="913"/>
      <c r="X265" s="913"/>
      <c r="Y265" s="914"/>
      <c r="Z265" s="864" t="s">
        <v>8</v>
      </c>
      <c r="AA265" s="865"/>
      <c r="AB265" s="865"/>
      <c r="AC265" s="865"/>
      <c r="AD265" s="865"/>
      <c r="AE265" s="866"/>
      <c r="AF265" s="48"/>
      <c r="AG265" s="48"/>
      <c r="AH265" s="48"/>
      <c r="AI265" s="48"/>
      <c r="AJ265" s="48"/>
      <c r="AK265" s="48"/>
    </row>
    <row r="266" spans="1:37" s="48" customFormat="1" ht="40.049999999999997" customHeight="1" thickBot="1" x14ac:dyDescent="0.35">
      <c r="A266" s="1025">
        <f>COUNTA(I266:CA266)</f>
        <v>23</v>
      </c>
      <c r="B266" s="1025"/>
      <c r="C266" s="1026"/>
      <c r="D266" s="262" t="s">
        <v>0</v>
      </c>
      <c r="E266" s="110" t="s">
        <v>31</v>
      </c>
      <c r="F266" s="573" t="s">
        <v>512</v>
      </c>
      <c r="G266" s="111" t="s">
        <v>57</v>
      </c>
      <c r="H266" s="112" t="s">
        <v>58</v>
      </c>
      <c r="I266" s="323" t="s">
        <v>181</v>
      </c>
      <c r="J266" s="165" t="s">
        <v>182</v>
      </c>
      <c r="K266" s="165" t="s">
        <v>183</v>
      </c>
      <c r="L266" s="165" t="s">
        <v>184</v>
      </c>
      <c r="M266" s="165" t="s">
        <v>185</v>
      </c>
      <c r="N266" s="165" t="s">
        <v>186</v>
      </c>
      <c r="O266" s="165" t="s">
        <v>187</v>
      </c>
      <c r="P266" s="165" t="s">
        <v>188</v>
      </c>
      <c r="Q266" s="165" t="s">
        <v>189</v>
      </c>
      <c r="R266" s="165" t="s">
        <v>190</v>
      </c>
      <c r="S266" s="165" t="s">
        <v>191</v>
      </c>
      <c r="T266" s="324" t="s">
        <v>192</v>
      </c>
      <c r="U266" s="164" t="s">
        <v>193</v>
      </c>
      <c r="V266" s="323" t="s">
        <v>194</v>
      </c>
      <c r="W266" s="323" t="s">
        <v>195</v>
      </c>
      <c r="X266" s="323" t="s">
        <v>196</v>
      </c>
      <c r="Y266" s="322" t="s">
        <v>197</v>
      </c>
      <c r="Z266" s="136" t="s">
        <v>53</v>
      </c>
      <c r="AA266" s="252" t="s">
        <v>53</v>
      </c>
      <c r="AB266" s="252" t="s">
        <v>53</v>
      </c>
      <c r="AC266" s="252" t="s">
        <v>53</v>
      </c>
      <c r="AD266" s="252" t="s">
        <v>53</v>
      </c>
      <c r="AE266" s="253" t="s">
        <v>53</v>
      </c>
    </row>
    <row r="267" spans="1:37" s="48" customFormat="1" ht="15" thickBot="1" x14ac:dyDescent="0.35">
      <c r="A267" s="1027"/>
      <c r="B267" s="1027"/>
      <c r="C267" s="1028"/>
      <c r="D267" s="36" t="s">
        <v>33</v>
      </c>
      <c r="E267" s="971" t="s">
        <v>513</v>
      </c>
      <c r="F267" s="972"/>
      <c r="G267" s="972"/>
      <c r="H267" s="973"/>
      <c r="I267" s="306" t="s">
        <v>29</v>
      </c>
      <c r="J267" s="307"/>
      <c r="K267" s="307"/>
      <c r="L267" s="307"/>
      <c r="M267" s="307"/>
      <c r="N267" s="307"/>
      <c r="O267" s="307"/>
      <c r="P267" s="307"/>
      <c r="Q267" s="307"/>
      <c r="R267" s="307"/>
      <c r="S267" s="307"/>
      <c r="T267" s="308"/>
      <c r="U267" s="832" t="s">
        <v>29</v>
      </c>
      <c r="V267" s="839"/>
      <c r="W267" s="839"/>
      <c r="X267" s="839"/>
      <c r="Y267" s="843"/>
      <c r="Z267" s="858" t="s">
        <v>29</v>
      </c>
      <c r="AA267" s="859"/>
      <c r="AB267" s="859"/>
      <c r="AC267" s="859"/>
      <c r="AD267" s="859"/>
      <c r="AE267" s="860"/>
    </row>
    <row r="268" spans="1:37" s="48" customFormat="1" ht="15" thickBot="1" x14ac:dyDescent="0.35">
      <c r="A268" s="57" t="s">
        <v>54</v>
      </c>
      <c r="B268" s="58" t="s">
        <v>55</v>
      </c>
      <c r="C268" s="62" t="s">
        <v>1</v>
      </c>
      <c r="D268" s="56" t="s">
        <v>32</v>
      </c>
      <c r="E268" s="971"/>
      <c r="F268" s="972"/>
      <c r="G268" s="972"/>
      <c r="H268" s="973"/>
      <c r="I268" s="309"/>
      <c r="J268" s="310"/>
      <c r="K268" s="310"/>
      <c r="L268" s="310"/>
      <c r="M268" s="310"/>
      <c r="N268" s="310"/>
      <c r="O268" s="310"/>
      <c r="P268" s="310"/>
      <c r="Q268" s="310"/>
      <c r="R268" s="310"/>
      <c r="S268" s="310"/>
      <c r="T268" s="311"/>
      <c r="U268" s="834"/>
      <c r="V268" s="840"/>
      <c r="W268" s="840"/>
      <c r="X268" s="840"/>
      <c r="Y268" s="845"/>
      <c r="Z268" s="861"/>
      <c r="AA268" s="862"/>
      <c r="AB268" s="862"/>
      <c r="AC268" s="862"/>
      <c r="AD268" s="862"/>
      <c r="AE268" s="863"/>
    </row>
    <row r="269" spans="1:37" s="48" customFormat="1" ht="15" customHeight="1" x14ac:dyDescent="0.3">
      <c r="A269" s="45" t="s">
        <v>5</v>
      </c>
      <c r="B269" s="60" t="s">
        <v>21</v>
      </c>
      <c r="C269" s="8" t="s">
        <v>69</v>
      </c>
      <c r="D269" s="522" t="s">
        <v>52</v>
      </c>
      <c r="E269" s="99">
        <f t="shared" ref="E269:E278" si="71">AVERAGE(I269:BY269)</f>
        <v>50.260869565217391</v>
      </c>
      <c r="F269" s="100">
        <f>AVEDEV(I269:BY269)</f>
        <v>25.882797731568999</v>
      </c>
      <c r="G269" s="100">
        <f t="shared" ref="G269:G278" si="72">MIN(I269:BY269)</f>
        <v>8</v>
      </c>
      <c r="H269" s="376">
        <f t="shared" ref="H269:H278" si="73">MAX(I269:BY269)</f>
        <v>101</v>
      </c>
      <c r="I269" s="34">
        <v>8</v>
      </c>
      <c r="J269" s="35">
        <v>12</v>
      </c>
      <c r="K269" s="35">
        <v>18</v>
      </c>
      <c r="L269" s="35">
        <v>24</v>
      </c>
      <c r="M269" s="35">
        <v>32</v>
      </c>
      <c r="N269" s="35">
        <v>40</v>
      </c>
      <c r="O269" s="35">
        <v>48</v>
      </c>
      <c r="P269" s="35">
        <v>60</v>
      </c>
      <c r="Q269" s="35">
        <v>70</v>
      </c>
      <c r="R269" s="35">
        <v>80</v>
      </c>
      <c r="S269" s="35">
        <v>99</v>
      </c>
      <c r="T269" s="42">
        <v>101</v>
      </c>
      <c r="U269" s="34">
        <v>50</v>
      </c>
      <c r="V269" s="35">
        <v>60</v>
      </c>
      <c r="W269" s="35">
        <v>80</v>
      </c>
      <c r="X269" s="35">
        <v>99</v>
      </c>
      <c r="Y269" s="43">
        <v>101</v>
      </c>
      <c r="Z269" s="34">
        <v>12</v>
      </c>
      <c r="AA269" s="35">
        <v>18</v>
      </c>
      <c r="AB269" s="35">
        <v>24</v>
      </c>
      <c r="AC269" s="35">
        <v>32</v>
      </c>
      <c r="AD269" s="35">
        <v>40</v>
      </c>
      <c r="AE269" s="43">
        <v>48</v>
      </c>
    </row>
    <row r="270" spans="1:37" s="48" customFormat="1" ht="15" customHeight="1" x14ac:dyDescent="0.3">
      <c r="A270" s="49" t="s">
        <v>6</v>
      </c>
      <c r="B270" s="44" t="s">
        <v>22</v>
      </c>
      <c r="C270" s="9" t="s">
        <v>70</v>
      </c>
      <c r="D270" s="523" t="s">
        <v>52</v>
      </c>
      <c r="E270" s="101">
        <f t="shared" si="71"/>
        <v>2.3682608695652176E-2</v>
      </c>
      <c r="F270" s="97">
        <f t="shared" ref="F270:F278" si="74">AVEDEV(I270:BY270)</f>
        <v>1.178601134215501E-2</v>
      </c>
      <c r="G270" s="97">
        <f t="shared" si="72"/>
        <v>7.8000000000000005E-3</v>
      </c>
      <c r="H270" s="377">
        <f t="shared" si="73"/>
        <v>4.9399999999999999E-2</v>
      </c>
      <c r="I270" s="85">
        <v>1.1700000000000002E-2</v>
      </c>
      <c r="J270" s="77">
        <v>7.8000000000000005E-3</v>
      </c>
      <c r="K270" s="77">
        <v>3.1200000000000002E-2</v>
      </c>
      <c r="L270" s="77">
        <v>2.2100000000000002E-2</v>
      </c>
      <c r="M270" s="77">
        <v>1.8199999999999997E-2</v>
      </c>
      <c r="N270" s="77">
        <v>1.4300000000000002E-2</v>
      </c>
      <c r="O270" s="77">
        <v>1.1700000000000002E-2</v>
      </c>
      <c r="P270" s="77">
        <v>1.4300000000000002E-2</v>
      </c>
      <c r="Q270" s="77">
        <v>1.1700000000000002E-2</v>
      </c>
      <c r="R270" s="77">
        <v>1.5600000000000001E-2</v>
      </c>
      <c r="S270" s="77">
        <v>1.3000000000000001E-2</v>
      </c>
      <c r="T270" s="313">
        <v>1.3000000000000001E-2</v>
      </c>
      <c r="U270" s="85">
        <v>4.1600000000000005E-2</v>
      </c>
      <c r="V270" s="77">
        <v>4.1600000000000005E-2</v>
      </c>
      <c r="W270" s="77">
        <v>4.9399999999999999E-2</v>
      </c>
      <c r="X270" s="77">
        <v>4.9399999999999999E-2</v>
      </c>
      <c r="Y270" s="78">
        <v>4.9399999999999999E-2</v>
      </c>
      <c r="Z270" s="85">
        <f>2.4/100*1.3</f>
        <v>3.1200000000000002E-2</v>
      </c>
      <c r="AA270" s="77">
        <f>2.4/100*1.3</f>
        <v>3.1200000000000002E-2</v>
      </c>
      <c r="AB270" s="77">
        <f>1.7/100*1.3</f>
        <v>2.2100000000000002E-2</v>
      </c>
      <c r="AC270" s="77">
        <f>1.4/100*1.3</f>
        <v>1.8199999999999997E-2</v>
      </c>
      <c r="AD270" s="77">
        <f>1.1/100*1.3</f>
        <v>1.4300000000000002E-2</v>
      </c>
      <c r="AE270" s="78">
        <f>0.9/100*1.3</f>
        <v>1.1700000000000002E-2</v>
      </c>
    </row>
    <row r="271" spans="1:37" s="48" customFormat="1" ht="15" customHeight="1" x14ac:dyDescent="0.3">
      <c r="A271" s="49" t="s">
        <v>64</v>
      </c>
      <c r="B271" s="59" t="s">
        <v>103</v>
      </c>
      <c r="C271" s="9" t="s">
        <v>70</v>
      </c>
      <c r="D271" s="523" t="s">
        <v>61</v>
      </c>
      <c r="E271" s="102">
        <f t="shared" si="71"/>
        <v>0.29999999999999988</v>
      </c>
      <c r="F271" s="98">
        <f t="shared" si="74"/>
        <v>1.1102230246251565E-16</v>
      </c>
      <c r="G271" s="98">
        <f t="shared" si="72"/>
        <v>0.3</v>
      </c>
      <c r="H271" s="378">
        <f t="shared" si="73"/>
        <v>0.3</v>
      </c>
      <c r="I271" s="320">
        <v>0.3</v>
      </c>
      <c r="J271" s="319">
        <v>0.3</v>
      </c>
      <c r="K271" s="319">
        <v>0.3</v>
      </c>
      <c r="L271" s="319">
        <v>0.3</v>
      </c>
      <c r="M271" s="319">
        <v>0.3</v>
      </c>
      <c r="N271" s="319">
        <v>0.3</v>
      </c>
      <c r="O271" s="319">
        <v>0.3</v>
      </c>
      <c r="P271" s="319">
        <v>0.3</v>
      </c>
      <c r="Q271" s="319">
        <v>0.3</v>
      </c>
      <c r="R271" s="319">
        <v>0.3</v>
      </c>
      <c r="S271" s="319">
        <v>0.3</v>
      </c>
      <c r="T271" s="318">
        <v>0.3</v>
      </c>
      <c r="U271" s="320">
        <v>0.3</v>
      </c>
      <c r="V271" s="319">
        <v>0.3</v>
      </c>
      <c r="W271" s="319">
        <v>0.3</v>
      </c>
      <c r="X271" s="319">
        <v>0.3</v>
      </c>
      <c r="Y271" s="317">
        <v>0.3</v>
      </c>
      <c r="Z271" s="249">
        <v>0.3</v>
      </c>
      <c r="AA271" s="222">
        <v>0.3</v>
      </c>
      <c r="AB271" s="222">
        <v>0.3</v>
      </c>
      <c r="AC271" s="222">
        <v>0.3</v>
      </c>
      <c r="AD271" s="222">
        <v>0.3</v>
      </c>
      <c r="AE271" s="223">
        <v>0.3</v>
      </c>
    </row>
    <row r="272" spans="1:37" s="48" customFormat="1" ht="15" customHeight="1" x14ac:dyDescent="0.3">
      <c r="A272" s="49" t="s">
        <v>3</v>
      </c>
      <c r="B272" s="44" t="s">
        <v>104</v>
      </c>
      <c r="C272" s="9" t="s">
        <v>71</v>
      </c>
      <c r="D272" s="523" t="s">
        <v>52</v>
      </c>
      <c r="E272" s="103">
        <f t="shared" si="71"/>
        <v>74.034782608695636</v>
      </c>
      <c r="F272" s="96">
        <f t="shared" si="74"/>
        <v>2.0192816635160638</v>
      </c>
      <c r="G272" s="96">
        <f t="shared" si="72"/>
        <v>71</v>
      </c>
      <c r="H272" s="379">
        <f t="shared" si="73"/>
        <v>80.900000000000006</v>
      </c>
      <c r="I272" s="316">
        <v>73</v>
      </c>
      <c r="J272" s="321">
        <v>71</v>
      </c>
      <c r="K272" s="321">
        <v>72.7</v>
      </c>
      <c r="L272" s="321">
        <v>73.099999999999994</v>
      </c>
      <c r="M272" s="321">
        <v>72.599999999999994</v>
      </c>
      <c r="N272" s="321">
        <v>71.900000000000006</v>
      </c>
      <c r="O272" s="321">
        <v>71.5</v>
      </c>
      <c r="P272" s="321">
        <v>71.5</v>
      </c>
      <c r="Q272" s="321">
        <v>72.099999999999994</v>
      </c>
      <c r="R272" s="321">
        <v>77.5</v>
      </c>
      <c r="S272" s="321">
        <v>76.900000000000006</v>
      </c>
      <c r="T272" s="315">
        <v>76.900000000000006</v>
      </c>
      <c r="U272" s="316">
        <v>74.599999999999994</v>
      </c>
      <c r="V272" s="321">
        <v>73.2</v>
      </c>
      <c r="W272" s="321">
        <v>75.3</v>
      </c>
      <c r="X272" s="321">
        <v>73.599999999999994</v>
      </c>
      <c r="Y272" s="314">
        <v>73.599999999999994</v>
      </c>
      <c r="Z272" s="147">
        <v>74.099999999999994</v>
      </c>
      <c r="AA272" s="144">
        <v>72.599999999999994</v>
      </c>
      <c r="AB272" s="144">
        <v>73.900000000000006</v>
      </c>
      <c r="AC272" s="144">
        <v>80.900000000000006</v>
      </c>
      <c r="AD272" s="144">
        <v>79.3</v>
      </c>
      <c r="AE272" s="223">
        <v>71</v>
      </c>
    </row>
    <row r="273" spans="1:53" s="48" customFormat="1" ht="15" customHeight="1" x14ac:dyDescent="0.3">
      <c r="A273" s="49" t="s">
        <v>4</v>
      </c>
      <c r="B273" s="44" t="s">
        <v>106</v>
      </c>
      <c r="C273" s="9" t="s">
        <v>71</v>
      </c>
      <c r="D273" s="523" t="s">
        <v>52</v>
      </c>
      <c r="E273" s="103">
        <f t="shared" si="71"/>
        <v>77.417391304347845</v>
      </c>
      <c r="F273" s="96">
        <f t="shared" si="74"/>
        <v>1.8325141776937601</v>
      </c>
      <c r="G273" s="96">
        <f t="shared" si="72"/>
        <v>71.8</v>
      </c>
      <c r="H273" s="379">
        <f t="shared" si="73"/>
        <v>83.4</v>
      </c>
      <c r="I273" s="316">
        <v>71.8</v>
      </c>
      <c r="J273" s="321">
        <v>71.8</v>
      </c>
      <c r="K273" s="321">
        <v>78.5</v>
      </c>
      <c r="L273" s="321">
        <v>78.5</v>
      </c>
      <c r="M273" s="321">
        <v>77.3</v>
      </c>
      <c r="N273" s="321">
        <v>75.7</v>
      </c>
      <c r="O273" s="321">
        <v>74.900000000000006</v>
      </c>
      <c r="P273" s="321">
        <v>78.2</v>
      </c>
      <c r="Q273" s="321">
        <v>78.2</v>
      </c>
      <c r="R273" s="321">
        <v>77.2</v>
      </c>
      <c r="S273" s="321">
        <v>77.2</v>
      </c>
      <c r="T273" s="315">
        <v>77.2</v>
      </c>
      <c r="U273" s="316">
        <v>75</v>
      </c>
      <c r="V273" s="321">
        <v>75</v>
      </c>
      <c r="W273" s="321">
        <v>78.400000000000006</v>
      </c>
      <c r="X273" s="321">
        <v>78.400000000000006</v>
      </c>
      <c r="Y273" s="314">
        <v>78.400000000000006</v>
      </c>
      <c r="Z273" s="142">
        <v>79.599999999999994</v>
      </c>
      <c r="AA273" s="137">
        <v>80.900000000000006</v>
      </c>
      <c r="AB273" s="137">
        <v>78.599999999999994</v>
      </c>
      <c r="AC273" s="137">
        <v>83.4</v>
      </c>
      <c r="AD273" s="137">
        <v>77.900000000000006</v>
      </c>
      <c r="AE273" s="221">
        <v>78.5</v>
      </c>
    </row>
    <row r="274" spans="1:53" s="48" customFormat="1" ht="15" customHeight="1" x14ac:dyDescent="0.3">
      <c r="A274" s="49" t="s">
        <v>59</v>
      </c>
      <c r="B274" s="44" t="s">
        <v>26</v>
      </c>
      <c r="C274" s="9" t="s">
        <v>69</v>
      </c>
      <c r="D274" s="523" t="s">
        <v>52</v>
      </c>
      <c r="E274" s="101">
        <f t="shared" si="71"/>
        <v>0.10426086956521739</v>
      </c>
      <c r="F274" s="97">
        <f t="shared" si="74"/>
        <v>4.173156899810964E-2</v>
      </c>
      <c r="G274" s="97">
        <f t="shared" si="72"/>
        <v>4.4999999999999998E-2</v>
      </c>
      <c r="H274" s="377">
        <f t="shared" si="73"/>
        <v>0.25900000000000001</v>
      </c>
      <c r="I274" s="139">
        <v>5.8999999999999997E-2</v>
      </c>
      <c r="J274" s="140">
        <v>6.5000000000000002E-2</v>
      </c>
      <c r="K274" s="140">
        <v>4.4999999999999998E-2</v>
      </c>
      <c r="L274" s="140">
        <v>5.5E-2</v>
      </c>
      <c r="M274" s="140">
        <v>6.2E-2</v>
      </c>
      <c r="N274" s="140">
        <v>7.0000000000000007E-2</v>
      </c>
      <c r="O274" s="140">
        <v>7.6999999999999999E-2</v>
      </c>
      <c r="P274" s="140">
        <f>122/1000</f>
        <v>0.122</v>
      </c>
      <c r="Q274" s="140">
        <f>122/1000</f>
        <v>0.122</v>
      </c>
      <c r="R274" s="140">
        <f>115/1000</f>
        <v>0.115</v>
      </c>
      <c r="S274" s="140">
        <f>173/1000</f>
        <v>0.17299999999999999</v>
      </c>
      <c r="T274" s="150">
        <f>173/1000</f>
        <v>0.17299999999999999</v>
      </c>
      <c r="U274" s="139">
        <v>0.23400000000000001</v>
      </c>
      <c r="V274" s="140">
        <v>0.25900000000000001</v>
      </c>
      <c r="W274" s="140">
        <v>9.9000000000000005E-2</v>
      </c>
      <c r="X274" s="140">
        <v>9.7000000000000003E-2</v>
      </c>
      <c r="Y274" s="224">
        <v>9.7000000000000003E-2</v>
      </c>
      <c r="Z274" s="139">
        <v>6.4000000000000001E-2</v>
      </c>
      <c r="AA274" s="140">
        <v>5.7000000000000002E-2</v>
      </c>
      <c r="AB274" s="140">
        <v>6.0999999999999999E-2</v>
      </c>
      <c r="AC274" s="140">
        <v>8.5000000000000006E-2</v>
      </c>
      <c r="AD274" s="140">
        <v>9.0999999999999998E-2</v>
      </c>
      <c r="AE274" s="224">
        <v>0.11600000000000001</v>
      </c>
    </row>
    <row r="275" spans="1:53" s="48" customFormat="1" ht="15" customHeight="1" x14ac:dyDescent="0.3">
      <c r="A275" s="49" t="s">
        <v>51</v>
      </c>
      <c r="B275" s="44" t="s">
        <v>27</v>
      </c>
      <c r="C275" s="9" t="s">
        <v>69</v>
      </c>
      <c r="D275" s="523" t="s">
        <v>52</v>
      </c>
      <c r="E275" s="101">
        <f t="shared" si="71"/>
        <v>5.4521739130434781E-2</v>
      </c>
      <c r="F275" s="97">
        <f t="shared" si="74"/>
        <v>2.2158790170132323E-2</v>
      </c>
      <c r="G275" s="97">
        <f t="shared" si="72"/>
        <v>2.5999999999999999E-2</v>
      </c>
      <c r="H275" s="377">
        <f t="shared" si="73"/>
        <v>0.122</v>
      </c>
      <c r="I275" s="139">
        <v>4.5999999999999999E-2</v>
      </c>
      <c r="J275" s="140">
        <v>4.5999999999999999E-2</v>
      </c>
      <c r="K275" s="140">
        <v>2.8000000000000001E-2</v>
      </c>
      <c r="L275" s="140">
        <v>2.8000000000000001E-2</v>
      </c>
      <c r="M275" s="140">
        <v>3.3000000000000002E-2</v>
      </c>
      <c r="N275" s="140">
        <v>3.7999999999999999E-2</v>
      </c>
      <c r="O275" s="140">
        <v>4.2999999999999997E-2</v>
      </c>
      <c r="P275" s="140">
        <f>92/1000</f>
        <v>9.1999999999999998E-2</v>
      </c>
      <c r="Q275" s="140">
        <f>92/1000</f>
        <v>9.1999999999999998E-2</v>
      </c>
      <c r="R275" s="140">
        <f>34/1000</f>
        <v>3.4000000000000002E-2</v>
      </c>
      <c r="S275" s="140">
        <f>34/1000</f>
        <v>3.4000000000000002E-2</v>
      </c>
      <c r="T275" s="150">
        <f>34/1000</f>
        <v>3.4000000000000002E-2</v>
      </c>
      <c r="U275" s="139">
        <v>0.122</v>
      </c>
      <c r="V275" s="140">
        <v>0.122</v>
      </c>
      <c r="W275" s="140">
        <v>4.9000000000000002E-2</v>
      </c>
      <c r="X275" s="140">
        <v>4.9000000000000002E-2</v>
      </c>
      <c r="Y275" s="224">
        <v>4.9000000000000002E-2</v>
      </c>
      <c r="Z275" s="16">
        <v>6.2E-2</v>
      </c>
      <c r="AA275" s="140">
        <v>2.5999999999999999E-2</v>
      </c>
      <c r="AB275" s="140">
        <v>2.5999999999999999E-2</v>
      </c>
      <c r="AC275" s="140">
        <v>6.7000000000000004E-2</v>
      </c>
      <c r="AD275" s="140">
        <v>6.7000000000000004E-2</v>
      </c>
      <c r="AE275" s="224">
        <v>6.7000000000000004E-2</v>
      </c>
    </row>
    <row r="276" spans="1:53" s="48" customFormat="1" ht="15" customHeight="1" x14ac:dyDescent="0.3">
      <c r="A276" s="51" t="s">
        <v>60</v>
      </c>
      <c r="B276" s="59" t="s">
        <v>28</v>
      </c>
      <c r="C276" s="9" t="s">
        <v>69</v>
      </c>
      <c r="D276" s="523" t="s">
        <v>52</v>
      </c>
      <c r="E276" s="101">
        <f t="shared" si="71"/>
        <v>1.9086956521739137E-2</v>
      </c>
      <c r="F276" s="97">
        <f t="shared" si="74"/>
        <v>6.01134215500945E-3</v>
      </c>
      <c r="G276" s="97">
        <f t="shared" si="72"/>
        <v>8.0000000000000002E-3</v>
      </c>
      <c r="H276" s="377">
        <f t="shared" si="73"/>
        <v>2.5999999999999999E-2</v>
      </c>
      <c r="I276" s="139">
        <v>1.2999999999999999E-2</v>
      </c>
      <c r="J276" s="140">
        <v>1.2999999999999999E-2</v>
      </c>
      <c r="K276" s="140">
        <v>1.4999999999999999E-2</v>
      </c>
      <c r="L276" s="140">
        <v>8.0000000000000002E-3</v>
      </c>
      <c r="M276" s="140">
        <v>1.4999999999999999E-2</v>
      </c>
      <c r="N276" s="140">
        <v>1.4999999999999999E-2</v>
      </c>
      <c r="O276" s="140">
        <v>1.4999999999999999E-2</v>
      </c>
      <c r="P276" s="140">
        <v>2.5999999999999999E-2</v>
      </c>
      <c r="Q276" s="140">
        <v>2.5999999999999999E-2</v>
      </c>
      <c r="R276" s="140">
        <v>2.5999999999999999E-2</v>
      </c>
      <c r="S276" s="140">
        <v>2.5999999999999999E-2</v>
      </c>
      <c r="T276" s="150">
        <v>2.5999999999999999E-2</v>
      </c>
      <c r="U276" s="139">
        <v>2.5999999999999999E-2</v>
      </c>
      <c r="V276" s="140">
        <v>2.5999999999999999E-2</v>
      </c>
      <c r="W276" s="140">
        <v>2.5999999999999999E-2</v>
      </c>
      <c r="X276" s="140">
        <v>2.5999999999999999E-2</v>
      </c>
      <c r="Y276" s="224">
        <v>2.5999999999999999E-2</v>
      </c>
      <c r="Z276" s="139">
        <v>1.4999999999999999E-2</v>
      </c>
      <c r="AA276" s="140">
        <v>1.6E-2</v>
      </c>
      <c r="AB276" s="140">
        <v>8.0000000000000002E-3</v>
      </c>
      <c r="AC276" s="140">
        <v>1.4999999999999999E-2</v>
      </c>
      <c r="AD276" s="140">
        <v>1.4999999999999999E-2</v>
      </c>
      <c r="AE276" s="224">
        <v>1.6E-2</v>
      </c>
    </row>
    <row r="277" spans="1:53" s="48" customFormat="1" ht="15" customHeight="1" x14ac:dyDescent="0.3">
      <c r="A277" s="49" t="s">
        <v>17</v>
      </c>
      <c r="B277" s="44" t="s">
        <v>101</v>
      </c>
      <c r="C277" s="9" t="s">
        <v>70</v>
      </c>
      <c r="D277" s="523" t="s">
        <v>52</v>
      </c>
      <c r="E277" s="101">
        <f t="shared" si="71"/>
        <v>0.94339130434782592</v>
      </c>
      <c r="F277" s="97">
        <f t="shared" si="74"/>
        <v>8.0264650283553701E-3</v>
      </c>
      <c r="G277" s="97">
        <f t="shared" si="72"/>
        <v>0.91600000000000004</v>
      </c>
      <c r="H277" s="377">
        <f t="shared" si="73"/>
        <v>0.96</v>
      </c>
      <c r="I277" s="139">
        <v>0.95299999999999996</v>
      </c>
      <c r="J277" s="140">
        <v>0.95099999999999996</v>
      </c>
      <c r="K277" s="140">
        <v>0.94699999999999995</v>
      </c>
      <c r="L277" s="140">
        <v>0.94799999999999995</v>
      </c>
      <c r="M277" s="140">
        <v>0.94899999999999995</v>
      </c>
      <c r="N277" s="140">
        <v>0.95</v>
      </c>
      <c r="O277" s="140">
        <v>0.95099999999999996</v>
      </c>
      <c r="P277" s="140">
        <v>0.93300000000000005</v>
      </c>
      <c r="Q277" s="140">
        <v>0.94399999999999995</v>
      </c>
      <c r="R277" s="140">
        <v>0.95599999999999996</v>
      </c>
      <c r="S277" s="140">
        <v>0.96</v>
      </c>
      <c r="T277" s="150">
        <v>0.96</v>
      </c>
      <c r="U277" s="139">
        <v>0.93</v>
      </c>
      <c r="V277" s="140">
        <v>0.94399999999999995</v>
      </c>
      <c r="W277" s="140">
        <v>0.94299999999999995</v>
      </c>
      <c r="X277" s="140">
        <v>0.94199999999999995</v>
      </c>
      <c r="Y277" s="224">
        <v>0.94199999999999995</v>
      </c>
      <c r="Z277" s="139">
        <v>0.91600000000000004</v>
      </c>
      <c r="AA277" s="140">
        <v>0.93899999999999995</v>
      </c>
      <c r="AB277" s="140">
        <v>0.93600000000000005</v>
      </c>
      <c r="AC277" s="140">
        <v>0.93300000000000005</v>
      </c>
      <c r="AD277" s="140">
        <v>0.94199999999999995</v>
      </c>
      <c r="AE277" s="224">
        <v>0.92900000000000005</v>
      </c>
    </row>
    <row r="278" spans="1:53" s="48" customFormat="1" ht="15" customHeight="1" thickBot="1" x14ac:dyDescent="0.35">
      <c r="A278" s="53" t="s">
        <v>18</v>
      </c>
      <c r="B278" s="61" t="s">
        <v>102</v>
      </c>
      <c r="C278" s="10" t="s">
        <v>70</v>
      </c>
      <c r="D278" s="524" t="s">
        <v>52</v>
      </c>
      <c r="E278" s="104">
        <f t="shared" si="71"/>
        <v>0.92573913043478273</v>
      </c>
      <c r="F278" s="105">
        <f t="shared" si="74"/>
        <v>1.0056710775047231E-2</v>
      </c>
      <c r="G278" s="105">
        <f t="shared" si="72"/>
        <v>0.88100000000000001</v>
      </c>
      <c r="H278" s="380">
        <f t="shared" si="73"/>
        <v>0.94499999999999995</v>
      </c>
      <c r="I278" s="20">
        <v>0.94499999999999995</v>
      </c>
      <c r="J278" s="11">
        <v>0.94499999999999995</v>
      </c>
      <c r="K278" s="11">
        <v>0.94499999999999995</v>
      </c>
      <c r="L278" s="11">
        <v>0.94499999999999995</v>
      </c>
      <c r="M278" s="11">
        <v>0.93700000000000006</v>
      </c>
      <c r="N278" s="11">
        <v>0.92800000000000005</v>
      </c>
      <c r="O278" s="11">
        <v>0.92</v>
      </c>
      <c r="P278" s="11">
        <v>0.92400000000000004</v>
      </c>
      <c r="Q278" s="11">
        <v>0.92400000000000004</v>
      </c>
      <c r="R278" s="11">
        <v>0.93100000000000005</v>
      </c>
      <c r="S278" s="11">
        <v>0.93100000000000005</v>
      </c>
      <c r="T278" s="30">
        <v>0.93100000000000005</v>
      </c>
      <c r="U278" s="20">
        <v>0.92200000000000004</v>
      </c>
      <c r="V278" s="11">
        <v>0.92700000000000005</v>
      </c>
      <c r="W278" s="11">
        <v>0.92700000000000005</v>
      </c>
      <c r="X278" s="11">
        <v>0.92700000000000005</v>
      </c>
      <c r="Y278" s="12">
        <v>0.92700000000000005</v>
      </c>
      <c r="Z278" s="20">
        <v>0.88100000000000001</v>
      </c>
      <c r="AA278" s="11">
        <v>0.90300000000000002</v>
      </c>
      <c r="AB278" s="11">
        <v>0.90300000000000002</v>
      </c>
      <c r="AC278" s="11">
        <v>0.92500000000000004</v>
      </c>
      <c r="AD278" s="11">
        <v>0.93</v>
      </c>
      <c r="AE278" s="12">
        <v>0.91400000000000003</v>
      </c>
    </row>
    <row r="279" spans="1:53" s="37" customFormat="1" ht="25.05" customHeight="1" thickBot="1" x14ac:dyDescent="0.35">
      <c r="A279" s="69"/>
      <c r="B279" s="69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</row>
    <row r="280" spans="1:53" s="37" customFormat="1" ht="15" customHeight="1" thickBot="1" x14ac:dyDescent="0.35">
      <c r="A280" s="115" t="s">
        <v>368</v>
      </c>
      <c r="B280" s="116"/>
      <c r="C280" s="116"/>
      <c r="D280" s="375" t="s">
        <v>368</v>
      </c>
      <c r="E280" s="1013" t="s">
        <v>368</v>
      </c>
      <c r="F280" s="1014"/>
      <c r="G280" s="1014"/>
      <c r="H280" s="1015"/>
      <c r="I280" s="864" t="s">
        <v>368</v>
      </c>
      <c r="J280" s="865"/>
      <c r="K280" s="865"/>
      <c r="L280" s="865"/>
      <c r="M280" s="865"/>
      <c r="N280" s="930" t="s">
        <v>368</v>
      </c>
      <c r="O280" s="931"/>
      <c r="P280" s="931"/>
      <c r="Q280" s="932"/>
      <c r="R280" s="865" t="s">
        <v>368</v>
      </c>
      <c r="S280" s="865"/>
      <c r="T280" s="866"/>
      <c r="U280" s="1023" t="s">
        <v>368</v>
      </c>
      <c r="V280" s="1024"/>
      <c r="W280" s="954" t="s">
        <v>368</v>
      </c>
      <c r="X280" s="955"/>
      <c r="Y280" s="955"/>
      <c r="Z280" s="955"/>
      <c r="AA280" s="933" t="s">
        <v>368</v>
      </c>
      <c r="AB280" s="934"/>
      <c r="AC280" s="934"/>
      <c r="AD280" s="934"/>
      <c r="AE280" s="934"/>
      <c r="AF280" s="934"/>
      <c r="AG280" s="934"/>
      <c r="AH280" s="934"/>
      <c r="AI280" s="934"/>
      <c r="AJ280" s="934"/>
      <c r="AK280" s="934"/>
      <c r="AL280" s="934"/>
      <c r="AM280" s="935"/>
      <c r="AN280" s="836" t="s">
        <v>368</v>
      </c>
      <c r="AO280" s="838"/>
      <c r="AP280" s="836" t="s">
        <v>368</v>
      </c>
      <c r="AQ280" s="837"/>
      <c r="AR280" s="836" t="s">
        <v>368</v>
      </c>
      <c r="AS280" s="841"/>
      <c r="AT280" s="841"/>
      <c r="AU280" s="841"/>
      <c r="AV280" s="837"/>
      <c r="AW280" s="836" t="s">
        <v>368</v>
      </c>
      <c r="AX280" s="841"/>
      <c r="AY280" s="841"/>
      <c r="AZ280" s="838"/>
      <c r="BA280" s="7"/>
    </row>
    <row r="281" spans="1:53" s="7" customFormat="1" ht="40.049999999999997" customHeight="1" thickBot="1" x14ac:dyDescent="0.35">
      <c r="A281" s="1025">
        <f>COUNTA(I281:CA281)</f>
        <v>44</v>
      </c>
      <c r="B281" s="1025"/>
      <c r="C281" s="1026"/>
      <c r="D281" s="262" t="s">
        <v>0</v>
      </c>
      <c r="E281" s="110" t="s">
        <v>31</v>
      </c>
      <c r="F281" s="573" t="s">
        <v>512</v>
      </c>
      <c r="G281" s="111" t="s">
        <v>57</v>
      </c>
      <c r="H281" s="112" t="s">
        <v>58</v>
      </c>
      <c r="I281" s="136" t="s">
        <v>369</v>
      </c>
      <c r="J281" s="165" t="s">
        <v>370</v>
      </c>
      <c r="K281" s="165" t="s">
        <v>371</v>
      </c>
      <c r="L281" s="252" t="s">
        <v>372</v>
      </c>
      <c r="M281" s="324" t="s">
        <v>373</v>
      </c>
      <c r="N281" s="504" t="s">
        <v>781</v>
      </c>
      <c r="O281" s="39" t="s">
        <v>782</v>
      </c>
      <c r="P281" s="39" t="s">
        <v>783</v>
      </c>
      <c r="Q281" s="148" t="s">
        <v>784</v>
      </c>
      <c r="R281" s="154" t="s">
        <v>374</v>
      </c>
      <c r="S281" s="252" t="s">
        <v>375</v>
      </c>
      <c r="T281" s="253" t="s">
        <v>376</v>
      </c>
      <c r="U281" s="164" t="s">
        <v>377</v>
      </c>
      <c r="V281" s="324" t="s">
        <v>378</v>
      </c>
      <c r="W281" s="136" t="s">
        <v>379</v>
      </c>
      <c r="X281" s="252" t="s">
        <v>380</v>
      </c>
      <c r="Y281" s="252" t="s">
        <v>381</v>
      </c>
      <c r="Z281" s="508" t="s">
        <v>382</v>
      </c>
      <c r="AA281" s="504" t="s">
        <v>785</v>
      </c>
      <c r="AB281" s="39" t="s">
        <v>786</v>
      </c>
      <c r="AC281" s="39" t="s">
        <v>787</v>
      </c>
      <c r="AD281" s="39" t="s">
        <v>788</v>
      </c>
      <c r="AE281" s="39" t="s">
        <v>789</v>
      </c>
      <c r="AF281" s="39" t="s">
        <v>790</v>
      </c>
      <c r="AG281" s="39" t="s">
        <v>791</v>
      </c>
      <c r="AH281" s="39" t="s">
        <v>792</v>
      </c>
      <c r="AI281" s="39" t="s">
        <v>793</v>
      </c>
      <c r="AJ281" s="39" t="s">
        <v>794</v>
      </c>
      <c r="AK281" s="39" t="s">
        <v>795</v>
      </c>
      <c r="AL281" s="39" t="s">
        <v>796</v>
      </c>
      <c r="AM281" s="148" t="s">
        <v>797</v>
      </c>
      <c r="AN281" s="504" t="s">
        <v>951</v>
      </c>
      <c r="AO281" s="39" t="s">
        <v>952</v>
      </c>
      <c r="AP281" s="39" t="s">
        <v>953</v>
      </c>
      <c r="AQ281" s="39" t="s">
        <v>954</v>
      </c>
      <c r="AR281" s="39" t="s">
        <v>955</v>
      </c>
      <c r="AS281" s="39" t="s">
        <v>956</v>
      </c>
      <c r="AT281" s="39" t="s">
        <v>957</v>
      </c>
      <c r="AU281" s="39" t="s">
        <v>958</v>
      </c>
      <c r="AV281" s="39" t="s">
        <v>959</v>
      </c>
      <c r="AW281" s="39" t="s">
        <v>960</v>
      </c>
      <c r="AX281" s="39" t="s">
        <v>961</v>
      </c>
      <c r="AY281" s="39" t="s">
        <v>962</v>
      </c>
      <c r="AZ281" s="148" t="s">
        <v>963</v>
      </c>
    </row>
    <row r="282" spans="1:53" s="7" customFormat="1" ht="15" customHeight="1" thickBot="1" x14ac:dyDescent="0.35">
      <c r="A282" s="1027"/>
      <c r="B282" s="1027"/>
      <c r="C282" s="1028"/>
      <c r="D282" s="36" t="s">
        <v>33</v>
      </c>
      <c r="E282" s="971" t="s">
        <v>513</v>
      </c>
      <c r="F282" s="972"/>
      <c r="G282" s="972"/>
      <c r="H282" s="973"/>
      <c r="I282" s="858" t="s">
        <v>29</v>
      </c>
      <c r="J282" s="859"/>
      <c r="K282" s="859"/>
      <c r="L282" s="859"/>
      <c r="M282" s="859"/>
      <c r="N282" s="924" t="s">
        <v>29</v>
      </c>
      <c r="O282" s="925"/>
      <c r="P282" s="925"/>
      <c r="Q282" s="926"/>
      <c r="R282" s="859" t="s">
        <v>29</v>
      </c>
      <c r="S282" s="859"/>
      <c r="T282" s="860"/>
      <c r="U282" s="1029" t="s">
        <v>29</v>
      </c>
      <c r="V282" s="1030"/>
      <c r="W282" s="936" t="s">
        <v>179</v>
      </c>
      <c r="X282" s="937"/>
      <c r="Y282" s="937"/>
      <c r="Z282" s="956"/>
      <c r="AA282" s="936" t="s">
        <v>419</v>
      </c>
      <c r="AB282" s="937"/>
      <c r="AC282" s="937"/>
      <c r="AD282" s="937"/>
      <c r="AE282" s="937"/>
      <c r="AF282" s="937"/>
      <c r="AG282" s="937"/>
      <c r="AH282" s="937"/>
      <c r="AI282" s="937"/>
      <c r="AJ282" s="937"/>
      <c r="AK282" s="937"/>
      <c r="AL282" s="937"/>
      <c r="AM282" s="938"/>
      <c r="AN282" s="832" t="s">
        <v>29</v>
      </c>
      <c r="AO282" s="833"/>
      <c r="AP282" s="832" t="s">
        <v>29</v>
      </c>
      <c r="AQ282" s="833"/>
      <c r="AR282" s="832" t="s">
        <v>29</v>
      </c>
      <c r="AS282" s="839"/>
      <c r="AT282" s="839"/>
      <c r="AU282" s="839"/>
      <c r="AV282" s="833"/>
      <c r="AW282" s="842" t="s">
        <v>29</v>
      </c>
      <c r="AX282" s="839"/>
      <c r="AY282" s="839"/>
      <c r="AZ282" s="843"/>
    </row>
    <row r="283" spans="1:53" s="7" customFormat="1" ht="15" customHeight="1" thickBot="1" x14ac:dyDescent="0.35">
      <c r="A283" s="57" t="s">
        <v>54</v>
      </c>
      <c r="B283" s="58" t="s">
        <v>55</v>
      </c>
      <c r="C283" s="62" t="s">
        <v>1</v>
      </c>
      <c r="D283" s="56" t="s">
        <v>32</v>
      </c>
      <c r="E283" s="971"/>
      <c r="F283" s="972"/>
      <c r="G283" s="972"/>
      <c r="H283" s="973"/>
      <c r="I283" s="861"/>
      <c r="J283" s="862"/>
      <c r="K283" s="862"/>
      <c r="L283" s="862"/>
      <c r="M283" s="862"/>
      <c r="N283" s="927"/>
      <c r="O283" s="928"/>
      <c r="P283" s="928"/>
      <c r="Q283" s="929"/>
      <c r="R283" s="862"/>
      <c r="S283" s="862"/>
      <c r="T283" s="863"/>
      <c r="U283" s="1031"/>
      <c r="V283" s="1032"/>
      <c r="W283" s="939"/>
      <c r="X283" s="940"/>
      <c r="Y283" s="940"/>
      <c r="Z283" s="957"/>
      <c r="AA283" s="939"/>
      <c r="AB283" s="940"/>
      <c r="AC283" s="940"/>
      <c r="AD283" s="940"/>
      <c r="AE283" s="940"/>
      <c r="AF283" s="940"/>
      <c r="AG283" s="940"/>
      <c r="AH283" s="940"/>
      <c r="AI283" s="940"/>
      <c r="AJ283" s="940"/>
      <c r="AK283" s="940"/>
      <c r="AL283" s="940"/>
      <c r="AM283" s="941"/>
      <c r="AN283" s="834"/>
      <c r="AO283" s="835"/>
      <c r="AP283" s="834"/>
      <c r="AQ283" s="835"/>
      <c r="AR283" s="834"/>
      <c r="AS283" s="840"/>
      <c r="AT283" s="840"/>
      <c r="AU283" s="840"/>
      <c r="AV283" s="835"/>
      <c r="AW283" s="844"/>
      <c r="AX283" s="840"/>
      <c r="AY283" s="840"/>
      <c r="AZ283" s="845"/>
    </row>
    <row r="284" spans="1:53" s="7" customFormat="1" ht="15" x14ac:dyDescent="0.3">
      <c r="A284" s="45" t="s">
        <v>5</v>
      </c>
      <c r="B284" s="60" t="s">
        <v>21</v>
      </c>
      <c r="C284" s="8" t="s">
        <v>69</v>
      </c>
      <c r="D284" s="522" t="s">
        <v>52</v>
      </c>
      <c r="E284" s="99">
        <f t="shared" ref="E284:E293" si="75">AVERAGE(I284:BY284)</f>
        <v>44.484090909090916</v>
      </c>
      <c r="F284" s="100">
        <f>AVEDEV(I284:BY284)</f>
        <v>22.069731404958677</v>
      </c>
      <c r="G284" s="100">
        <f t="shared" ref="G284:G293" si="76">MIN(I284:BY284)</f>
        <v>9</v>
      </c>
      <c r="H284" s="376">
        <f t="shared" ref="H284:H293" si="77">MAX(I284:BY284)</f>
        <v>110</v>
      </c>
      <c r="I284" s="448">
        <v>10.5</v>
      </c>
      <c r="J284" s="449">
        <v>15</v>
      </c>
      <c r="K284" s="449">
        <v>21</v>
      </c>
      <c r="L284" s="449">
        <v>25.9</v>
      </c>
      <c r="M284" s="42">
        <v>32.5</v>
      </c>
      <c r="N284" s="758">
        <v>38</v>
      </c>
      <c r="O284" s="759">
        <v>45</v>
      </c>
      <c r="P284" s="759">
        <v>49.9</v>
      </c>
      <c r="Q284" s="760">
        <v>63</v>
      </c>
      <c r="R284" s="757">
        <v>35</v>
      </c>
      <c r="S284" s="449">
        <v>45</v>
      </c>
      <c r="T284" s="450">
        <v>60</v>
      </c>
      <c r="U284" s="316">
        <v>9</v>
      </c>
      <c r="V284" s="315">
        <v>12</v>
      </c>
      <c r="W284" s="372">
        <v>10.5</v>
      </c>
      <c r="X284" s="359">
        <v>15.9</v>
      </c>
      <c r="Y284" s="359">
        <v>22.3</v>
      </c>
      <c r="Z284" s="761">
        <v>27.5</v>
      </c>
      <c r="AA284" s="372">
        <v>24</v>
      </c>
      <c r="AB284" s="359">
        <v>30</v>
      </c>
      <c r="AC284" s="359">
        <v>40</v>
      </c>
      <c r="AD284" s="359">
        <v>49</v>
      </c>
      <c r="AE284" s="359">
        <v>60</v>
      </c>
      <c r="AF284" s="359">
        <v>72</v>
      </c>
      <c r="AG284" s="359">
        <v>75</v>
      </c>
      <c r="AH284" s="359">
        <v>83</v>
      </c>
      <c r="AI284" s="359">
        <v>90</v>
      </c>
      <c r="AJ284" s="359">
        <v>99</v>
      </c>
      <c r="AK284" s="359">
        <v>100</v>
      </c>
      <c r="AL284" s="359">
        <v>103</v>
      </c>
      <c r="AM284" s="360">
        <v>110</v>
      </c>
      <c r="AN284" s="372">
        <v>12</v>
      </c>
      <c r="AO284" s="359">
        <v>18</v>
      </c>
      <c r="AP284" s="359">
        <v>12</v>
      </c>
      <c r="AQ284" s="359">
        <v>18</v>
      </c>
      <c r="AR284" s="359">
        <v>38</v>
      </c>
      <c r="AS284" s="359">
        <v>45</v>
      </c>
      <c r="AT284" s="359">
        <v>49.9</v>
      </c>
      <c r="AU284" s="359">
        <v>63</v>
      </c>
      <c r="AV284" s="359">
        <v>32.5</v>
      </c>
      <c r="AW284" s="359">
        <v>38</v>
      </c>
      <c r="AX284" s="359">
        <v>45</v>
      </c>
      <c r="AY284" s="359">
        <v>49.9</v>
      </c>
      <c r="AZ284" s="360">
        <v>63</v>
      </c>
    </row>
    <row r="285" spans="1:53" s="7" customFormat="1" ht="15" x14ac:dyDescent="0.3">
      <c r="A285" s="49" t="s">
        <v>6</v>
      </c>
      <c r="B285" s="44" t="s">
        <v>22</v>
      </c>
      <c r="C285" s="9" t="s">
        <v>70</v>
      </c>
      <c r="D285" s="523" t="s">
        <v>52</v>
      </c>
      <c r="E285" s="101">
        <f t="shared" si="75"/>
        <v>1.9795454545454557E-2</v>
      </c>
      <c r="F285" s="97">
        <f t="shared" ref="F285:F293" si="78">AVEDEV(I285:BY285)</f>
        <v>4.7128099173553714E-3</v>
      </c>
      <c r="G285" s="97">
        <f t="shared" si="76"/>
        <v>1.0999999999999999E-2</v>
      </c>
      <c r="H285" s="377">
        <f t="shared" si="77"/>
        <v>3.5000000000000003E-2</v>
      </c>
      <c r="I285" s="465">
        <v>3.3000000000000002E-2</v>
      </c>
      <c r="J285" s="462">
        <v>2.9000000000000001E-2</v>
      </c>
      <c r="K285" s="462">
        <v>2.5000000000000001E-2</v>
      </c>
      <c r="L285" s="462">
        <v>2.3E-2</v>
      </c>
      <c r="M285" s="464">
        <v>2.1000000000000001E-2</v>
      </c>
      <c r="N285" s="465">
        <v>0.02</v>
      </c>
      <c r="O285" s="462">
        <v>1.9E-2</v>
      </c>
      <c r="P285" s="462">
        <v>1.7999999999999999E-2</v>
      </c>
      <c r="Q285" s="463">
        <v>1.6E-2</v>
      </c>
      <c r="R285" s="400">
        <v>0.02</v>
      </c>
      <c r="S285" s="462">
        <v>1.9E-2</v>
      </c>
      <c r="T285" s="463">
        <v>1.6E-2</v>
      </c>
      <c r="U285" s="465">
        <v>3.5000000000000003E-2</v>
      </c>
      <c r="V285" s="464">
        <v>3.1E-2</v>
      </c>
      <c r="W285" s="465">
        <v>1.7000000000000001E-2</v>
      </c>
      <c r="X285" s="462">
        <v>1.4E-2</v>
      </c>
      <c r="Y285" s="462">
        <v>1.2E-2</v>
      </c>
      <c r="Z285" s="464">
        <v>1.0999999999999999E-2</v>
      </c>
      <c r="AA285" s="465">
        <v>2.4E-2</v>
      </c>
      <c r="AB285" s="462">
        <v>2.1999999999999999E-2</v>
      </c>
      <c r="AC285" s="462">
        <v>1.9E-2</v>
      </c>
      <c r="AD285" s="462">
        <v>1.7999999999999999E-2</v>
      </c>
      <c r="AE285" s="462">
        <v>1.6E-2</v>
      </c>
      <c r="AF285" s="462">
        <v>1.4999999999999999E-2</v>
      </c>
      <c r="AG285" s="462">
        <v>1.4999999999999999E-2</v>
      </c>
      <c r="AH285" s="462">
        <v>1.4E-2</v>
      </c>
      <c r="AI285" s="462">
        <v>1.4E-2</v>
      </c>
      <c r="AJ285" s="462">
        <v>1.2999999999999999E-2</v>
      </c>
      <c r="AK285" s="462">
        <v>1.2999999999999999E-2</v>
      </c>
      <c r="AL285" s="462">
        <v>1.2999999999999999E-2</v>
      </c>
      <c r="AM285" s="463">
        <v>1.2999999999999999E-2</v>
      </c>
      <c r="AN285" s="465">
        <v>3.1E-2</v>
      </c>
      <c r="AO285" s="462">
        <v>2.7E-2</v>
      </c>
      <c r="AP285" s="462">
        <v>3.1E-2</v>
      </c>
      <c r="AQ285" s="462">
        <v>2.7E-2</v>
      </c>
      <c r="AR285" s="462">
        <v>0.02</v>
      </c>
      <c r="AS285" s="462">
        <v>1.9E-2</v>
      </c>
      <c r="AT285" s="462">
        <v>1.7999999999999999E-2</v>
      </c>
      <c r="AU285" s="462">
        <v>1.6E-2</v>
      </c>
      <c r="AV285" s="462">
        <v>2.1000000000000001E-2</v>
      </c>
      <c r="AW285" s="462">
        <v>0.02</v>
      </c>
      <c r="AX285" s="462">
        <v>1.9E-2</v>
      </c>
      <c r="AY285" s="462">
        <v>1.7999999999999999E-2</v>
      </c>
      <c r="AZ285" s="463">
        <v>1.6E-2</v>
      </c>
    </row>
    <row r="286" spans="1:53" s="7" customFormat="1" ht="15" x14ac:dyDescent="0.3">
      <c r="A286" s="49" t="s">
        <v>64</v>
      </c>
      <c r="B286" s="59" t="s">
        <v>152</v>
      </c>
      <c r="C286" s="9" t="s">
        <v>70</v>
      </c>
      <c r="D286" s="523" t="s">
        <v>61</v>
      </c>
      <c r="E286" s="102">
        <f t="shared" si="75"/>
        <v>0.31113636363636388</v>
      </c>
      <c r="F286" s="98">
        <f t="shared" si="78"/>
        <v>2.0754132231405199E-2</v>
      </c>
      <c r="G286" s="98">
        <f t="shared" si="76"/>
        <v>0.3</v>
      </c>
      <c r="H286" s="378">
        <f t="shared" si="77"/>
        <v>0.5</v>
      </c>
      <c r="I286" s="458">
        <v>0.3</v>
      </c>
      <c r="J286" s="455">
        <v>0.3</v>
      </c>
      <c r="K286" s="455">
        <v>0.3</v>
      </c>
      <c r="L286" s="455">
        <v>0.3</v>
      </c>
      <c r="M286" s="461">
        <v>0.3</v>
      </c>
      <c r="N286" s="458">
        <v>0.3</v>
      </c>
      <c r="O286" s="455">
        <v>0.3</v>
      </c>
      <c r="P286" s="455">
        <v>0.3</v>
      </c>
      <c r="Q286" s="456">
        <v>0.3</v>
      </c>
      <c r="R286" s="411">
        <v>0.3</v>
      </c>
      <c r="S286" s="455">
        <v>0.3</v>
      </c>
      <c r="T286" s="456">
        <v>0.3</v>
      </c>
      <c r="U286" s="458">
        <v>0.5</v>
      </c>
      <c r="V286" s="461">
        <v>0.39</v>
      </c>
      <c r="W286" s="82">
        <v>0.3</v>
      </c>
      <c r="X286" s="80">
        <v>0.3</v>
      </c>
      <c r="Y286" s="80">
        <v>0.3</v>
      </c>
      <c r="Z286" s="193">
        <v>0.3</v>
      </c>
      <c r="AA286" s="82">
        <v>0.3</v>
      </c>
      <c r="AB286" s="80">
        <v>0.3</v>
      </c>
      <c r="AC286" s="80">
        <v>0.3</v>
      </c>
      <c r="AD286" s="14">
        <v>0.3</v>
      </c>
      <c r="AE286" s="80">
        <v>0.3</v>
      </c>
      <c r="AF286" s="80">
        <v>0.3</v>
      </c>
      <c r="AG286" s="80">
        <v>0.3</v>
      </c>
      <c r="AH286" s="14">
        <v>0.3</v>
      </c>
      <c r="AI286" s="80">
        <v>0.3</v>
      </c>
      <c r="AJ286" s="80">
        <v>0.3</v>
      </c>
      <c r="AK286" s="80">
        <v>0.3</v>
      </c>
      <c r="AL286" s="14">
        <v>0.3</v>
      </c>
      <c r="AM286" s="291">
        <v>0.5</v>
      </c>
      <c r="AN286" s="82">
        <v>0.3</v>
      </c>
      <c r="AO286" s="80">
        <v>0.3</v>
      </c>
      <c r="AP286" s="80">
        <v>0.3</v>
      </c>
      <c r="AQ286" s="14">
        <v>0.3</v>
      </c>
      <c r="AR286" s="80">
        <v>0.3</v>
      </c>
      <c r="AS286" s="80">
        <v>0.3</v>
      </c>
      <c r="AT286" s="80">
        <v>0.3</v>
      </c>
      <c r="AU286" s="14">
        <v>0.3</v>
      </c>
      <c r="AV286" s="80">
        <v>0.3</v>
      </c>
      <c r="AW286" s="80">
        <v>0.3</v>
      </c>
      <c r="AX286" s="80">
        <v>0.3</v>
      </c>
      <c r="AY286" s="14">
        <v>0.3</v>
      </c>
      <c r="AZ286" s="291">
        <v>0.3</v>
      </c>
    </row>
    <row r="287" spans="1:53" s="7" customFormat="1" ht="15" x14ac:dyDescent="0.3">
      <c r="A287" s="49" t="s">
        <v>3</v>
      </c>
      <c r="B287" s="44" t="s">
        <v>278</v>
      </c>
      <c r="C287" s="9" t="s">
        <v>71</v>
      </c>
      <c r="D287" s="523" t="s">
        <v>52</v>
      </c>
      <c r="E287" s="103">
        <f t="shared" si="75"/>
        <v>70.727272727272734</v>
      </c>
      <c r="F287" s="96">
        <f t="shared" si="78"/>
        <v>1.8772727272727237</v>
      </c>
      <c r="G287" s="96">
        <f t="shared" si="76"/>
        <v>60.5</v>
      </c>
      <c r="H287" s="379">
        <f t="shared" si="77"/>
        <v>77.7</v>
      </c>
      <c r="I287" s="459">
        <v>71.400000000000006</v>
      </c>
      <c r="J287" s="454">
        <v>70.400000000000006</v>
      </c>
      <c r="K287" s="454">
        <v>70.3</v>
      </c>
      <c r="L287" s="454">
        <v>70.099999999999994</v>
      </c>
      <c r="M287" s="460">
        <v>73</v>
      </c>
      <c r="N287" s="459">
        <v>71.3</v>
      </c>
      <c r="O287" s="454">
        <v>71.2</v>
      </c>
      <c r="P287" s="454">
        <v>71.2</v>
      </c>
      <c r="Q287" s="457">
        <v>71.099999999999994</v>
      </c>
      <c r="R287" s="416">
        <v>73.599999999999994</v>
      </c>
      <c r="S287" s="454">
        <v>71.599999999999994</v>
      </c>
      <c r="T287" s="457">
        <v>71.099999999999994</v>
      </c>
      <c r="U287" s="459">
        <v>76.5</v>
      </c>
      <c r="V287" s="460">
        <v>77.7</v>
      </c>
      <c r="W287" s="453">
        <v>62</v>
      </c>
      <c r="X287" s="14">
        <v>61.4</v>
      </c>
      <c r="Y287" s="14">
        <v>60.9</v>
      </c>
      <c r="Z287" s="193">
        <v>60.5</v>
      </c>
      <c r="AA287" s="453">
        <v>72.2</v>
      </c>
      <c r="AB287" s="14">
        <v>71.599999999999994</v>
      </c>
      <c r="AC287" s="14">
        <v>71.5</v>
      </c>
      <c r="AD287" s="14">
        <v>71.5</v>
      </c>
      <c r="AE287" s="762">
        <v>71.5</v>
      </c>
      <c r="AF287" s="14">
        <v>71.5</v>
      </c>
      <c r="AG287" s="14">
        <v>71.5</v>
      </c>
      <c r="AH287" s="14">
        <v>71.5</v>
      </c>
      <c r="AI287" s="762">
        <v>71.5</v>
      </c>
      <c r="AJ287" s="14">
        <v>71.5</v>
      </c>
      <c r="AK287" s="14">
        <v>71.5</v>
      </c>
      <c r="AL287" s="14">
        <v>71.5</v>
      </c>
      <c r="AM287" s="763">
        <v>73</v>
      </c>
      <c r="AN287" s="453">
        <v>72.5</v>
      </c>
      <c r="AO287" s="14">
        <v>72.3</v>
      </c>
      <c r="AP287" s="14">
        <v>72</v>
      </c>
      <c r="AQ287" s="14">
        <v>71.3</v>
      </c>
      <c r="AR287" s="762">
        <v>71.3</v>
      </c>
      <c r="AS287" s="14">
        <v>71.2</v>
      </c>
      <c r="AT287" s="14">
        <v>71.2</v>
      </c>
      <c r="AU287" s="14">
        <v>71.099999999999994</v>
      </c>
      <c r="AV287" s="762">
        <v>70.5</v>
      </c>
      <c r="AW287" s="14">
        <v>70</v>
      </c>
      <c r="AX287" s="14">
        <v>70.2</v>
      </c>
      <c r="AY287" s="14">
        <v>70.400000000000006</v>
      </c>
      <c r="AZ287" s="763">
        <v>70.900000000000006</v>
      </c>
    </row>
    <row r="288" spans="1:53" s="7" customFormat="1" ht="15" x14ac:dyDescent="0.3">
      <c r="A288" s="49" t="s">
        <v>4</v>
      </c>
      <c r="B288" s="44" t="s">
        <v>153</v>
      </c>
      <c r="C288" s="9" t="s">
        <v>71</v>
      </c>
      <c r="D288" s="523" t="s">
        <v>52</v>
      </c>
      <c r="E288" s="103">
        <f t="shared" si="75"/>
        <v>71.818181818181841</v>
      </c>
      <c r="F288" s="96">
        <f t="shared" si="78"/>
        <v>2.4772727272727271</v>
      </c>
      <c r="G288" s="96">
        <f t="shared" si="76"/>
        <v>61.5</v>
      </c>
      <c r="H288" s="379">
        <f t="shared" si="77"/>
        <v>77.8</v>
      </c>
      <c r="I288" s="459">
        <v>70.599999999999994</v>
      </c>
      <c r="J288" s="454">
        <v>76.8</v>
      </c>
      <c r="K288" s="454">
        <v>77.099999999999994</v>
      </c>
      <c r="L288" s="454">
        <v>77.400000000000006</v>
      </c>
      <c r="M288" s="460">
        <v>74.7</v>
      </c>
      <c r="N288" s="459">
        <v>70.8</v>
      </c>
      <c r="O288" s="454">
        <v>70.900000000000006</v>
      </c>
      <c r="P288" s="454">
        <v>71</v>
      </c>
      <c r="Q288" s="457">
        <v>71.099999999999994</v>
      </c>
      <c r="R288" s="416">
        <v>73.7</v>
      </c>
      <c r="S288" s="454">
        <v>72.3</v>
      </c>
      <c r="T288" s="457">
        <v>73.3</v>
      </c>
      <c r="U288" s="459">
        <v>77.8</v>
      </c>
      <c r="V288" s="460">
        <v>77.8</v>
      </c>
      <c r="W288" s="194">
        <v>62.1</v>
      </c>
      <c r="X288" s="14">
        <v>62.1</v>
      </c>
      <c r="Y288" s="14">
        <v>61.7</v>
      </c>
      <c r="Z288" s="193">
        <v>61.5</v>
      </c>
      <c r="AA288" s="194">
        <v>75.400000000000006</v>
      </c>
      <c r="AB288" s="14">
        <v>75.5</v>
      </c>
      <c r="AC288" s="14">
        <v>75.5</v>
      </c>
      <c r="AD288" s="14">
        <v>75.5</v>
      </c>
      <c r="AE288" s="14">
        <v>75.7</v>
      </c>
      <c r="AF288" s="14">
        <v>72</v>
      </c>
      <c r="AG288" s="14">
        <v>72</v>
      </c>
      <c r="AH288" s="14">
        <v>72</v>
      </c>
      <c r="AI288" s="14">
        <v>72</v>
      </c>
      <c r="AJ288" s="14">
        <v>72</v>
      </c>
      <c r="AK288" s="14">
        <v>72</v>
      </c>
      <c r="AL288" s="14">
        <v>72</v>
      </c>
      <c r="AM288" s="290">
        <v>72</v>
      </c>
      <c r="AN288" s="194">
        <v>70.8</v>
      </c>
      <c r="AO288" s="14">
        <v>70.900000000000006</v>
      </c>
      <c r="AP288" s="14">
        <v>70.900000000000006</v>
      </c>
      <c r="AQ288" s="14">
        <v>70.599999999999994</v>
      </c>
      <c r="AR288" s="14">
        <v>70.8</v>
      </c>
      <c r="AS288" s="14">
        <v>70.900000000000006</v>
      </c>
      <c r="AT288" s="14">
        <v>71</v>
      </c>
      <c r="AU288" s="14">
        <v>71.099999999999994</v>
      </c>
      <c r="AV288" s="14">
        <v>71.3</v>
      </c>
      <c r="AW288" s="14">
        <v>71.2</v>
      </c>
      <c r="AX288" s="14">
        <v>71.3</v>
      </c>
      <c r="AY288" s="14">
        <v>71.400000000000006</v>
      </c>
      <c r="AZ288" s="290">
        <v>71.5</v>
      </c>
    </row>
    <row r="289" spans="1:52" s="7" customFormat="1" ht="15" x14ac:dyDescent="0.3">
      <c r="A289" s="49" t="s">
        <v>59</v>
      </c>
      <c r="B289" s="44" t="s">
        <v>26</v>
      </c>
      <c r="C289" s="9" t="s">
        <v>69</v>
      </c>
      <c r="D289" s="523" t="s">
        <v>52</v>
      </c>
      <c r="E289" s="101">
        <f t="shared" si="75"/>
        <v>0.10465909090909094</v>
      </c>
      <c r="F289" s="97">
        <f t="shared" si="78"/>
        <v>5.0246900826446311E-2</v>
      </c>
      <c r="G289" s="97">
        <f t="shared" si="76"/>
        <v>2.5000000000000001E-2</v>
      </c>
      <c r="H289" s="377">
        <f t="shared" si="77"/>
        <v>0.33200000000000002</v>
      </c>
      <c r="I289" s="465">
        <v>2.8000000000000001E-2</v>
      </c>
      <c r="J289" s="462">
        <v>3.3000000000000002E-2</v>
      </c>
      <c r="K289" s="462">
        <v>4.1000000000000002E-2</v>
      </c>
      <c r="L289" s="462">
        <v>4.8000000000000001E-2</v>
      </c>
      <c r="M289" s="464">
        <v>7.6999999999999999E-2</v>
      </c>
      <c r="N289" s="465">
        <v>7.4999999999999997E-2</v>
      </c>
      <c r="O289" s="462">
        <v>0.08</v>
      </c>
      <c r="P289" s="462">
        <v>8.5000000000000006E-2</v>
      </c>
      <c r="Q289" s="463">
        <v>9.8000000000000004E-2</v>
      </c>
      <c r="R289" s="400">
        <v>9.6000000000000002E-2</v>
      </c>
      <c r="S289" s="462">
        <v>0.114</v>
      </c>
      <c r="T289" s="463">
        <v>0.14099999999999999</v>
      </c>
      <c r="U289" s="451">
        <v>4.3999999999999997E-2</v>
      </c>
      <c r="V289" s="452">
        <v>0.05</v>
      </c>
      <c r="W289" s="194">
        <v>2.5000000000000001E-2</v>
      </c>
      <c r="X289" s="14">
        <v>4.1000000000000002E-2</v>
      </c>
      <c r="Y289" s="14">
        <v>5.8000000000000003E-2</v>
      </c>
      <c r="Z289" s="193">
        <v>7.1999999999999995E-2</v>
      </c>
      <c r="AA289" s="194">
        <v>6.7000000000000004E-2</v>
      </c>
      <c r="AB289" s="14">
        <v>7.6999999999999999E-2</v>
      </c>
      <c r="AC289" s="14">
        <v>8.3000000000000004E-2</v>
      </c>
      <c r="AD289" s="14">
        <v>8.8999999999999996E-2</v>
      </c>
      <c r="AE289" s="14">
        <v>9.8000000000000004E-2</v>
      </c>
      <c r="AF289" s="14">
        <v>0.14299999999999999</v>
      </c>
      <c r="AG289" s="14">
        <v>0.157</v>
      </c>
      <c r="AH289" s="14">
        <v>0.193</v>
      </c>
      <c r="AI289" s="14">
        <v>0.22500000000000001</v>
      </c>
      <c r="AJ289" s="14">
        <v>0.26700000000000002</v>
      </c>
      <c r="AK289" s="14">
        <v>0.27100000000000002</v>
      </c>
      <c r="AL289" s="14">
        <v>0.28499999999999998</v>
      </c>
      <c r="AM289" s="290">
        <v>0.33200000000000002</v>
      </c>
      <c r="AN289" s="194">
        <v>4.8000000000000001E-2</v>
      </c>
      <c r="AO289" s="14">
        <v>5.5E-2</v>
      </c>
      <c r="AP289" s="14">
        <v>7.1999999999999995E-2</v>
      </c>
      <c r="AQ289" s="14">
        <v>7.3999999999999996E-2</v>
      </c>
      <c r="AR289" s="14">
        <v>7.4999999999999997E-2</v>
      </c>
      <c r="AS289" s="14">
        <v>0.08</v>
      </c>
      <c r="AT289" s="14">
        <v>8.5000000000000006E-2</v>
      </c>
      <c r="AU289" s="14">
        <v>9.8000000000000004E-2</v>
      </c>
      <c r="AV289" s="14">
        <v>8.7999999999999995E-2</v>
      </c>
      <c r="AW289" s="14">
        <v>9.9000000000000005E-2</v>
      </c>
      <c r="AX289" s="14">
        <v>0.105</v>
      </c>
      <c r="AY289" s="14">
        <v>0.11</v>
      </c>
      <c r="AZ289" s="290">
        <v>0.123</v>
      </c>
    </row>
    <row r="290" spans="1:52" s="7" customFormat="1" ht="15" x14ac:dyDescent="0.3">
      <c r="A290" s="49" t="s">
        <v>51</v>
      </c>
      <c r="B290" s="44" t="s">
        <v>27</v>
      </c>
      <c r="C290" s="9" t="s">
        <v>69</v>
      </c>
      <c r="D290" s="523" t="s">
        <v>52</v>
      </c>
      <c r="E290" s="101">
        <f t="shared" si="75"/>
        <v>4.8750000000000009E-2</v>
      </c>
      <c r="F290" s="97">
        <f t="shared" si="78"/>
        <v>1.9693181818181828E-2</v>
      </c>
      <c r="G290" s="97">
        <f t="shared" si="76"/>
        <v>1.6E-2</v>
      </c>
      <c r="H290" s="377">
        <f t="shared" si="77"/>
        <v>0.11600000000000001</v>
      </c>
      <c r="I290" s="465">
        <v>1.6E-2</v>
      </c>
      <c r="J290" s="462">
        <v>1.7999999999999999E-2</v>
      </c>
      <c r="K290" s="462">
        <v>0.02</v>
      </c>
      <c r="L290" s="462">
        <v>2.1000000000000001E-2</v>
      </c>
      <c r="M290" s="464">
        <v>3.1E-2</v>
      </c>
      <c r="N290" s="465">
        <v>3.1E-2</v>
      </c>
      <c r="O290" s="462">
        <v>3.6999999999999998E-2</v>
      </c>
      <c r="P290" s="462">
        <v>0.04</v>
      </c>
      <c r="Q290" s="463">
        <v>4.8000000000000001E-2</v>
      </c>
      <c r="R290" s="400">
        <v>3.6999999999999998E-2</v>
      </c>
      <c r="S290" s="462">
        <v>4.2999999999999997E-2</v>
      </c>
      <c r="T290" s="463">
        <v>0.05</v>
      </c>
      <c r="U290" s="465">
        <v>3.3000000000000002E-2</v>
      </c>
      <c r="V290" s="464">
        <v>3.3000000000000002E-2</v>
      </c>
      <c r="W290" s="465">
        <v>0.02</v>
      </c>
      <c r="X290" s="462">
        <v>0.02</v>
      </c>
      <c r="Y290" s="462">
        <v>3.1E-2</v>
      </c>
      <c r="Z290" s="464">
        <v>4.1000000000000002E-2</v>
      </c>
      <c r="AA290" s="465">
        <v>4.7E-2</v>
      </c>
      <c r="AB290" s="462">
        <v>4.8000000000000001E-2</v>
      </c>
      <c r="AC290" s="462">
        <v>5.0999999999999997E-2</v>
      </c>
      <c r="AD290" s="462">
        <v>5.3999999999999999E-2</v>
      </c>
      <c r="AE290" s="462">
        <v>5.7000000000000002E-2</v>
      </c>
      <c r="AF290" s="462">
        <v>7.0999999999999994E-2</v>
      </c>
      <c r="AG290" s="462">
        <v>7.4999999999999997E-2</v>
      </c>
      <c r="AH290" s="462">
        <v>8.5000000000000006E-2</v>
      </c>
      <c r="AI290" s="462">
        <v>9.4E-2</v>
      </c>
      <c r="AJ290" s="462">
        <v>0.105</v>
      </c>
      <c r="AK290" s="462">
        <v>0.107</v>
      </c>
      <c r="AL290" s="462">
        <v>0.11</v>
      </c>
      <c r="AM290" s="463">
        <v>0.11600000000000001</v>
      </c>
      <c r="AN290" s="465">
        <v>2.5000000000000001E-2</v>
      </c>
      <c r="AO290" s="462">
        <v>2.8000000000000001E-2</v>
      </c>
      <c r="AP290" s="462">
        <v>3.2000000000000001E-2</v>
      </c>
      <c r="AQ290" s="462">
        <v>2.7E-2</v>
      </c>
      <c r="AR290" s="462">
        <v>3.1E-2</v>
      </c>
      <c r="AS290" s="462">
        <v>3.6999999999999998E-2</v>
      </c>
      <c r="AT290" s="462">
        <v>0.04</v>
      </c>
      <c r="AU290" s="462">
        <v>4.8000000000000001E-2</v>
      </c>
      <c r="AV290" s="462">
        <v>5.2999999999999999E-2</v>
      </c>
      <c r="AW290" s="462">
        <v>5.6000000000000001E-2</v>
      </c>
      <c r="AX290" s="462">
        <v>5.8000000000000003E-2</v>
      </c>
      <c r="AY290" s="462">
        <v>5.8999999999999997E-2</v>
      </c>
      <c r="AZ290" s="463">
        <v>6.0999999999999999E-2</v>
      </c>
    </row>
    <row r="291" spans="1:52" s="7" customFormat="1" ht="15" x14ac:dyDescent="0.3">
      <c r="A291" s="51" t="s">
        <v>60</v>
      </c>
      <c r="B291" s="59" t="s">
        <v>28</v>
      </c>
      <c r="C291" s="9" t="s">
        <v>69</v>
      </c>
      <c r="D291" s="523" t="s">
        <v>52</v>
      </c>
      <c r="E291" s="101">
        <f t="shared" si="75"/>
        <v>9.045454545454551E-3</v>
      </c>
      <c r="F291" s="97">
        <f t="shared" si="78"/>
        <v>1.7458677685950432E-3</v>
      </c>
      <c r="G291" s="97">
        <f t="shared" si="76"/>
        <v>6.0000000000000001E-3</v>
      </c>
      <c r="H291" s="377">
        <f t="shared" si="77"/>
        <v>1.2E-2</v>
      </c>
      <c r="I291" s="465">
        <v>6.0000000000000001E-3</v>
      </c>
      <c r="J291" s="462">
        <v>6.0000000000000001E-3</v>
      </c>
      <c r="K291" s="462">
        <v>6.0000000000000001E-3</v>
      </c>
      <c r="L291" s="462">
        <v>6.0000000000000001E-3</v>
      </c>
      <c r="M291" s="464">
        <v>6.0000000000000001E-3</v>
      </c>
      <c r="N291" s="465">
        <v>8.9999999999999993E-3</v>
      </c>
      <c r="O291" s="462">
        <v>8.9999999999999993E-3</v>
      </c>
      <c r="P291" s="462">
        <v>8.9999999999999993E-3</v>
      </c>
      <c r="Q291" s="463">
        <v>8.9999999999999993E-3</v>
      </c>
      <c r="R291" s="400">
        <v>7.0000000000000001E-3</v>
      </c>
      <c r="S291" s="462">
        <v>7.0000000000000001E-3</v>
      </c>
      <c r="T291" s="463">
        <v>7.0000000000000001E-3</v>
      </c>
      <c r="U291" s="465">
        <v>7.0000000000000001E-3</v>
      </c>
      <c r="V291" s="464">
        <v>7.0000000000000001E-3</v>
      </c>
      <c r="W291" s="194">
        <v>8.9999999999999993E-3</v>
      </c>
      <c r="X291" s="14">
        <v>8.9999999999999993E-3</v>
      </c>
      <c r="Y291" s="14">
        <v>8.9999999999999993E-3</v>
      </c>
      <c r="Z291" s="193">
        <v>8.9999999999999993E-3</v>
      </c>
      <c r="AA291" s="194">
        <v>1.2E-2</v>
      </c>
      <c r="AB291" s="14">
        <v>1.2E-2</v>
      </c>
      <c r="AC291" s="14">
        <v>1.2E-2</v>
      </c>
      <c r="AD291" s="14">
        <v>1.2E-2</v>
      </c>
      <c r="AE291" s="14">
        <v>1.2E-2</v>
      </c>
      <c r="AF291" s="14">
        <v>1.2E-2</v>
      </c>
      <c r="AG291" s="14">
        <v>1.2E-2</v>
      </c>
      <c r="AH291" s="14">
        <v>1.2E-2</v>
      </c>
      <c r="AI291" s="14">
        <v>1.2E-2</v>
      </c>
      <c r="AJ291" s="14">
        <v>1.2E-2</v>
      </c>
      <c r="AK291" s="14">
        <v>1.2E-2</v>
      </c>
      <c r="AL291" s="14">
        <v>1.2E-2</v>
      </c>
      <c r="AM291" s="290">
        <v>1.2E-2</v>
      </c>
      <c r="AN291" s="194">
        <v>7.0000000000000001E-3</v>
      </c>
      <c r="AO291" s="14">
        <v>7.0000000000000001E-3</v>
      </c>
      <c r="AP291" s="14">
        <v>7.0000000000000001E-3</v>
      </c>
      <c r="AQ291" s="14">
        <v>7.0000000000000001E-3</v>
      </c>
      <c r="AR291" s="14">
        <v>8.9999999999999993E-3</v>
      </c>
      <c r="AS291" s="14">
        <v>8.9999999999999993E-3</v>
      </c>
      <c r="AT291" s="14">
        <v>8.9999999999999993E-3</v>
      </c>
      <c r="AU291" s="14">
        <v>8.9999999999999993E-3</v>
      </c>
      <c r="AV291" s="14">
        <v>8.9999999999999993E-3</v>
      </c>
      <c r="AW291" s="14">
        <v>8.9999999999999993E-3</v>
      </c>
      <c r="AX291" s="14">
        <v>8.0000000000000002E-3</v>
      </c>
      <c r="AY291" s="14">
        <v>8.0000000000000002E-3</v>
      </c>
      <c r="AZ291" s="290">
        <v>7.0000000000000001E-3</v>
      </c>
    </row>
    <row r="292" spans="1:52" s="7" customFormat="1" ht="15" x14ac:dyDescent="0.3">
      <c r="A292" s="49" t="s">
        <v>17</v>
      </c>
      <c r="B292" s="44" t="s">
        <v>101</v>
      </c>
      <c r="C292" s="9" t="s">
        <v>70</v>
      </c>
      <c r="D292" s="523" t="s">
        <v>52</v>
      </c>
      <c r="E292" s="101">
        <f t="shared" si="75"/>
        <v>0.94790909090909115</v>
      </c>
      <c r="F292" s="97">
        <f t="shared" si="78"/>
        <v>1.6995867768595161E-2</v>
      </c>
      <c r="G292" s="97">
        <f t="shared" si="76"/>
        <v>0.92300000000000004</v>
      </c>
      <c r="H292" s="377">
        <f t="shared" si="77"/>
        <v>1.0349999999999999</v>
      </c>
      <c r="I292" s="465">
        <v>0.93200000000000005</v>
      </c>
      <c r="J292" s="462">
        <v>0.93300000000000005</v>
      </c>
      <c r="K292" s="462">
        <v>0.93600000000000005</v>
      </c>
      <c r="L292" s="462">
        <v>0.93300000000000005</v>
      </c>
      <c r="M292" s="254">
        <v>0.92800000000000005</v>
      </c>
      <c r="N292" s="465">
        <v>0.92300000000000004</v>
      </c>
      <c r="O292" s="462">
        <v>0.92600000000000005</v>
      </c>
      <c r="P292" s="462">
        <v>0.92900000000000005</v>
      </c>
      <c r="Q292" s="463">
        <v>0.93600000000000005</v>
      </c>
      <c r="R292" s="400">
        <v>0.93700000000000006</v>
      </c>
      <c r="S292" s="462">
        <v>0.94099999999999995</v>
      </c>
      <c r="T292" s="463">
        <v>0.94599999999999995</v>
      </c>
      <c r="U292" s="22">
        <v>0.94499999999999995</v>
      </c>
      <c r="V292" s="254">
        <v>0.94099999999999995</v>
      </c>
      <c r="W292" s="194">
        <v>1.028</v>
      </c>
      <c r="X292" s="14">
        <v>1.0309999999999999</v>
      </c>
      <c r="Y292" s="14">
        <v>1.0329999999999999</v>
      </c>
      <c r="Z292" s="193">
        <v>1.0349999999999999</v>
      </c>
      <c r="AA292" s="194">
        <v>0.93500000000000005</v>
      </c>
      <c r="AB292" s="14">
        <v>0.93400000000000005</v>
      </c>
      <c r="AC292" s="14">
        <v>0.93799999999999994</v>
      </c>
      <c r="AD292" s="14">
        <v>0.94099999999999995</v>
      </c>
      <c r="AE292" s="14">
        <v>0.94599999999999995</v>
      </c>
      <c r="AF292" s="14">
        <v>0.94499999999999995</v>
      </c>
      <c r="AG292" s="14">
        <v>0.94399999999999995</v>
      </c>
      <c r="AH292" s="14">
        <v>0.94399999999999995</v>
      </c>
      <c r="AI292" s="14">
        <v>0.94299999999999995</v>
      </c>
      <c r="AJ292" s="14">
        <v>0.94199999999999995</v>
      </c>
      <c r="AK292" s="14">
        <v>0.94199999999999995</v>
      </c>
      <c r="AL292" s="14">
        <v>0.94099999999999995</v>
      </c>
      <c r="AM292" s="290">
        <v>0.94</v>
      </c>
      <c r="AN292" s="194">
        <v>0.93799999999999994</v>
      </c>
      <c r="AO292" s="14">
        <v>0.94299999999999995</v>
      </c>
      <c r="AP292" s="14">
        <v>0.93899999999999995</v>
      </c>
      <c r="AQ292" s="14">
        <v>0.94799999999999995</v>
      </c>
      <c r="AR292" s="14">
        <v>0.92300000000000004</v>
      </c>
      <c r="AS292" s="14">
        <v>0.92600000000000005</v>
      </c>
      <c r="AT292" s="14">
        <v>0.92900000000000005</v>
      </c>
      <c r="AU292" s="14">
        <v>0.93600000000000005</v>
      </c>
      <c r="AV292" s="14">
        <v>0.95</v>
      </c>
      <c r="AW292" s="14">
        <v>0.95399999999999996</v>
      </c>
      <c r="AX292" s="14">
        <v>0.95599999999999996</v>
      </c>
      <c r="AY292" s="14">
        <v>0.95699999999999996</v>
      </c>
      <c r="AZ292" s="290">
        <v>0.96099999999999997</v>
      </c>
    </row>
    <row r="293" spans="1:52" s="7" customFormat="1" ht="15.6" thickBot="1" x14ac:dyDescent="0.35">
      <c r="A293" s="53" t="s">
        <v>18</v>
      </c>
      <c r="B293" s="61" t="s">
        <v>102</v>
      </c>
      <c r="C293" s="10" t="s">
        <v>70</v>
      </c>
      <c r="D293" s="524" t="s">
        <v>52</v>
      </c>
      <c r="E293" s="104">
        <f t="shared" si="75"/>
        <v>0.9413636363636364</v>
      </c>
      <c r="F293" s="105">
        <f t="shared" si="78"/>
        <v>1.3495867768595037E-2</v>
      </c>
      <c r="G293" s="105">
        <f t="shared" si="76"/>
        <v>0.91300000000000003</v>
      </c>
      <c r="H293" s="380">
        <f t="shared" si="77"/>
        <v>1.012</v>
      </c>
      <c r="I293" s="446">
        <v>0.92200000000000004</v>
      </c>
      <c r="J293" s="444">
        <v>0.93100000000000005</v>
      </c>
      <c r="K293" s="444">
        <v>0.94499999999999995</v>
      </c>
      <c r="L293" s="444">
        <v>0.93600000000000005</v>
      </c>
      <c r="M293" s="445">
        <v>0.92400000000000004</v>
      </c>
      <c r="N293" s="446">
        <v>0.91900000000000004</v>
      </c>
      <c r="O293" s="444">
        <v>0.92500000000000004</v>
      </c>
      <c r="P293" s="444">
        <v>0.92800000000000005</v>
      </c>
      <c r="Q293" s="447">
        <v>0.93600000000000005</v>
      </c>
      <c r="R293" s="394">
        <v>0.91700000000000004</v>
      </c>
      <c r="S293" s="444">
        <v>0.92400000000000004</v>
      </c>
      <c r="T293" s="447">
        <v>0.93400000000000005</v>
      </c>
      <c r="U293" s="446">
        <v>0.95699999999999996</v>
      </c>
      <c r="V293" s="445">
        <v>0.95699999999999996</v>
      </c>
      <c r="W293" s="234">
        <v>0.98899999999999999</v>
      </c>
      <c r="X293" s="233">
        <v>0.98899999999999999</v>
      </c>
      <c r="Y293" s="233">
        <v>1.0069999999999999</v>
      </c>
      <c r="Z293" s="244">
        <v>1.012</v>
      </c>
      <c r="AA293" s="234">
        <v>0.94799999999999995</v>
      </c>
      <c r="AB293" s="233">
        <v>0.94599999999999995</v>
      </c>
      <c r="AC293" s="233">
        <v>0.94399999999999995</v>
      </c>
      <c r="AD293" s="233">
        <v>0.94199999999999995</v>
      </c>
      <c r="AE293" s="233">
        <v>0.93899999999999995</v>
      </c>
      <c r="AF293" s="233">
        <v>0.93899999999999995</v>
      </c>
      <c r="AG293" s="233">
        <v>0.94</v>
      </c>
      <c r="AH293" s="233">
        <v>0.94</v>
      </c>
      <c r="AI293" s="233">
        <v>0.94</v>
      </c>
      <c r="AJ293" s="233">
        <v>0.94099999999999995</v>
      </c>
      <c r="AK293" s="233">
        <v>0.94099999999999995</v>
      </c>
      <c r="AL293" s="233">
        <v>0.94099999999999995</v>
      </c>
      <c r="AM293" s="361">
        <v>0.94099999999999995</v>
      </c>
      <c r="AN293" s="234">
        <v>0.91700000000000004</v>
      </c>
      <c r="AO293" s="233">
        <v>0.93300000000000005</v>
      </c>
      <c r="AP293" s="233">
        <v>0.91300000000000003</v>
      </c>
      <c r="AQ293" s="233">
        <v>0.93500000000000005</v>
      </c>
      <c r="AR293" s="233">
        <v>0.91900000000000004</v>
      </c>
      <c r="AS293" s="233">
        <v>0.92500000000000004</v>
      </c>
      <c r="AT293" s="233">
        <v>0.92800000000000005</v>
      </c>
      <c r="AU293" s="233">
        <v>0.93600000000000005</v>
      </c>
      <c r="AV293" s="233">
        <v>0.93899999999999995</v>
      </c>
      <c r="AW293" s="233">
        <v>0.94099999999999995</v>
      </c>
      <c r="AX293" s="233">
        <v>0.94399999999999995</v>
      </c>
      <c r="AY293" s="233">
        <v>0.94599999999999995</v>
      </c>
      <c r="AZ293" s="361">
        <v>0.95</v>
      </c>
    </row>
    <row r="294" spans="1:52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52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52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52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52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52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52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52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52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52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52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</sheetData>
  <sheetProtection algorithmName="SHA-512" hashValue="F80UwJToVxYUHldoecQzY1YB2bsOi3pi/1BLtS825Zy6Lv7ljcvY5/iB/a38U4h3MJq0be1yzrVpNk3E6mZ31A==" saltValue="ykOGPNOMV3cCx2JwMa+ugw==" spinCount="100000" sheet="1" objects="1" scenarios="1"/>
  <customSheetViews>
    <customSheetView guid="{C6D656A5-E5D0-43AA-B502-125EFB9D3966}" scale="85">
      <selection activeCell="H68" sqref="H68:H78"/>
      <pageMargins left="0.7" right="0.7" top="0.78740157499999996" bottom="0.78740157499999996" header="0.3" footer="0.3"/>
    </customSheetView>
    <customSheetView guid="{84BB0383-D1DD-492C-9D89-8CCD7ED964E7}" scale="85">
      <selection activeCell="E2" sqref="E2"/>
      <pageMargins left="0.7" right="0.7" top="0.78740157499999996" bottom="0.78740157499999996" header="0.3" footer="0.3"/>
    </customSheetView>
  </customSheetViews>
  <mergeCells count="339">
    <mergeCell ref="DG145:DI145"/>
    <mergeCell ref="DE145:DF145"/>
    <mergeCell ref="DE147:DF148"/>
    <mergeCell ref="DG147:DI148"/>
    <mergeCell ref="Q160:Z160"/>
    <mergeCell ref="Q162:Z163"/>
    <mergeCell ref="AQ160:AU160"/>
    <mergeCell ref="AQ162:AU163"/>
    <mergeCell ref="AV160:AZ160"/>
    <mergeCell ref="AV162:AZ163"/>
    <mergeCell ref="BA160:BE160"/>
    <mergeCell ref="BA162:BE163"/>
    <mergeCell ref="BF160:BJ160"/>
    <mergeCell ref="BF162:BJ163"/>
    <mergeCell ref="CF145:CR145"/>
    <mergeCell ref="CS147:CZ148"/>
    <mergeCell ref="DA145:DD145"/>
    <mergeCell ref="DA147:DD148"/>
    <mergeCell ref="CS145:CZ145"/>
    <mergeCell ref="BM147:BO148"/>
    <mergeCell ref="BP147:BR148"/>
    <mergeCell ref="BM145:BO145"/>
    <mergeCell ref="BP145:BR145"/>
    <mergeCell ref="AU145:BF145"/>
    <mergeCell ref="EU40:EX40"/>
    <mergeCell ref="Z42:AF43"/>
    <mergeCell ref="AG42:AG43"/>
    <mergeCell ref="EU42:EX43"/>
    <mergeCell ref="AH40:AL40"/>
    <mergeCell ref="AH42:AL43"/>
    <mergeCell ref="BO115:BP115"/>
    <mergeCell ref="DT72:DX73"/>
    <mergeCell ref="DT70:DX70"/>
    <mergeCell ref="BF115:BG115"/>
    <mergeCell ref="BH115:BN115"/>
    <mergeCell ref="DE72:DK73"/>
    <mergeCell ref="DE70:DK70"/>
    <mergeCell ref="ET42:ET43"/>
    <mergeCell ref="CB40:CE40"/>
    <mergeCell ref="CF40:CI40"/>
    <mergeCell ref="CN40:DJ40"/>
    <mergeCell ref="CN42:DJ43"/>
    <mergeCell ref="DK42:DQ43"/>
    <mergeCell ref="DK40:DQ40"/>
    <mergeCell ref="CN102:CR103"/>
    <mergeCell ref="CI102:CM103"/>
    <mergeCell ref="DY72:EA73"/>
    <mergeCell ref="DY70:EA70"/>
    <mergeCell ref="CM25:CR25"/>
    <mergeCell ref="BO25:BS25"/>
    <mergeCell ref="BO27:BS28"/>
    <mergeCell ref="BM40:BW40"/>
    <mergeCell ref="DR40:DS40"/>
    <mergeCell ref="DR42:DS43"/>
    <mergeCell ref="DT40:EC40"/>
    <mergeCell ref="CJ42:CM43"/>
    <mergeCell ref="CJ40:CM40"/>
    <mergeCell ref="CF42:CI43"/>
    <mergeCell ref="CB42:CE43"/>
    <mergeCell ref="BX42:CA43"/>
    <mergeCell ref="DT42:EC43"/>
    <mergeCell ref="E205:H205"/>
    <mergeCell ref="E190:H190"/>
    <mergeCell ref="I205:N205"/>
    <mergeCell ref="P115:R115"/>
    <mergeCell ref="O205:R205"/>
    <mergeCell ref="A206:C207"/>
    <mergeCell ref="I87:O88"/>
    <mergeCell ref="I162:P163"/>
    <mergeCell ref="I207:N208"/>
    <mergeCell ref="A86:C87"/>
    <mergeCell ref="E162:H163"/>
    <mergeCell ref="A146:C147"/>
    <mergeCell ref="A131:C132"/>
    <mergeCell ref="I145:P145"/>
    <mergeCell ref="I147:P148"/>
    <mergeCell ref="E145:H145"/>
    <mergeCell ref="E87:H88"/>
    <mergeCell ref="E130:H130"/>
    <mergeCell ref="E100:H100"/>
    <mergeCell ref="E115:H115"/>
    <mergeCell ref="I115:O115"/>
    <mergeCell ref="A191:C192"/>
    <mergeCell ref="I160:P160"/>
    <mergeCell ref="E177:H178"/>
    <mergeCell ref="A26:C27"/>
    <mergeCell ref="E27:H28"/>
    <mergeCell ref="E57:H58"/>
    <mergeCell ref="E70:H70"/>
    <mergeCell ref="I42:O43"/>
    <mergeCell ref="A71:C72"/>
    <mergeCell ref="CI100:CM100"/>
    <mergeCell ref="CN100:CR100"/>
    <mergeCell ref="X27:AP28"/>
    <mergeCell ref="P85:AD85"/>
    <mergeCell ref="P87:AD88"/>
    <mergeCell ref="X42:Y43"/>
    <mergeCell ref="Z40:AF40"/>
    <mergeCell ref="AM42:AM43"/>
    <mergeCell ref="AN42:AO43"/>
    <mergeCell ref="AN40:AO40"/>
    <mergeCell ref="AP40:BL40"/>
    <mergeCell ref="P40:S40"/>
    <mergeCell ref="P42:S43"/>
    <mergeCell ref="T42:W43"/>
    <mergeCell ref="T40:W40"/>
    <mergeCell ref="BX40:CA40"/>
    <mergeCell ref="I72:P73"/>
    <mergeCell ref="I70:P70"/>
    <mergeCell ref="E117:H118"/>
    <mergeCell ref="I117:O118"/>
    <mergeCell ref="P117:R118"/>
    <mergeCell ref="Q147:S148"/>
    <mergeCell ref="E132:H133"/>
    <mergeCell ref="E147:H148"/>
    <mergeCell ref="I192:P193"/>
    <mergeCell ref="A101:C102"/>
    <mergeCell ref="E102:H103"/>
    <mergeCell ref="E192:H193"/>
    <mergeCell ref="A116:C117"/>
    <mergeCell ref="A161:C162"/>
    <mergeCell ref="E175:H175"/>
    <mergeCell ref="I130:V130"/>
    <mergeCell ref="I132:V133"/>
    <mergeCell ref="E160:H160"/>
    <mergeCell ref="A176:C177"/>
    <mergeCell ref="Q175:U175"/>
    <mergeCell ref="Q177:U178"/>
    <mergeCell ref="S115:Z115"/>
    <mergeCell ref="Q192:X193"/>
    <mergeCell ref="Y192:AD193"/>
    <mergeCell ref="Q145:S145"/>
    <mergeCell ref="A11:C12"/>
    <mergeCell ref="A56:C57"/>
    <mergeCell ref="E10:H10"/>
    <mergeCell ref="E12:H13"/>
    <mergeCell ref="E55:H55"/>
    <mergeCell ref="N10:O10"/>
    <mergeCell ref="K10:M10"/>
    <mergeCell ref="I12:J13"/>
    <mergeCell ref="I85:O85"/>
    <mergeCell ref="E85:H85"/>
    <mergeCell ref="E72:H73"/>
    <mergeCell ref="E25:H25"/>
    <mergeCell ref="N12:O13"/>
    <mergeCell ref="K12:M13"/>
    <mergeCell ref="I25:K25"/>
    <mergeCell ref="I55:Y55"/>
    <mergeCell ref="I57:Y58"/>
    <mergeCell ref="L25:W25"/>
    <mergeCell ref="I40:O40"/>
    <mergeCell ref="I10:J10"/>
    <mergeCell ref="E40:H40"/>
    <mergeCell ref="A41:C42"/>
    <mergeCell ref="E42:H43"/>
    <mergeCell ref="L27:W28"/>
    <mergeCell ref="A281:C282"/>
    <mergeCell ref="E282:H283"/>
    <mergeCell ref="I280:M280"/>
    <mergeCell ref="I282:M283"/>
    <mergeCell ref="R280:T280"/>
    <mergeCell ref="R282:T283"/>
    <mergeCell ref="Q190:X190"/>
    <mergeCell ref="I190:P190"/>
    <mergeCell ref="E267:H268"/>
    <mergeCell ref="U265:Y265"/>
    <mergeCell ref="A266:C267"/>
    <mergeCell ref="A236:C237"/>
    <mergeCell ref="E250:H250"/>
    <mergeCell ref="N222:P223"/>
    <mergeCell ref="E235:H235"/>
    <mergeCell ref="J250:L250"/>
    <mergeCell ref="A221:C222"/>
    <mergeCell ref="E222:H223"/>
    <mergeCell ref="E252:H253"/>
    <mergeCell ref="A251:C252"/>
    <mergeCell ref="I235:L235"/>
    <mergeCell ref="E207:H208"/>
    <mergeCell ref="U282:V283"/>
    <mergeCell ref="E237:H238"/>
    <mergeCell ref="E280:H280"/>
    <mergeCell ref="E220:H220"/>
    <mergeCell ref="Z265:AE265"/>
    <mergeCell ref="I237:L238"/>
    <mergeCell ref="N220:P220"/>
    <mergeCell ref="J252:L253"/>
    <mergeCell ref="Z267:AE268"/>
    <mergeCell ref="E265:H265"/>
    <mergeCell ref="I220:M220"/>
    <mergeCell ref="I222:M223"/>
    <mergeCell ref="U267:Y268"/>
    <mergeCell ref="I265:S265"/>
    <mergeCell ref="I252:I253"/>
    <mergeCell ref="U280:V280"/>
    <mergeCell ref="AA160:AE160"/>
    <mergeCell ref="AA162:AE163"/>
    <mergeCell ref="AK160:AL160"/>
    <mergeCell ref="AK162:AL163"/>
    <mergeCell ref="BG147:BL148"/>
    <mergeCell ref="BF100:BG100"/>
    <mergeCell ref="AA115:AE115"/>
    <mergeCell ref="CF100:CH100"/>
    <mergeCell ref="CF102:CH103"/>
    <mergeCell ref="AF115:AG115"/>
    <mergeCell ref="AH115:AR115"/>
    <mergeCell ref="AT115:AW115"/>
    <mergeCell ref="AX115:BD115"/>
    <mergeCell ref="BF102:BG103"/>
    <mergeCell ref="AT117:AW118"/>
    <mergeCell ref="AU147:BF148"/>
    <mergeCell ref="AX117:BD118"/>
    <mergeCell ref="AS117:AS118"/>
    <mergeCell ref="BE117:BE118"/>
    <mergeCell ref="BF117:BG118"/>
    <mergeCell ref="AI147:AT148"/>
    <mergeCell ref="T147:AH148"/>
    <mergeCell ref="AI145:AT145"/>
    <mergeCell ref="T145:AH145"/>
    <mergeCell ref="BS145:CE145"/>
    <mergeCell ref="BS147:CE148"/>
    <mergeCell ref="CF147:CR148"/>
    <mergeCell ref="EY42:FE43"/>
    <mergeCell ref="EY40:FE40"/>
    <mergeCell ref="AQ27:BI28"/>
    <mergeCell ref="EH42:ES43"/>
    <mergeCell ref="EH40:ES40"/>
    <mergeCell ref="X25:AP25"/>
    <mergeCell ref="BO117:BP118"/>
    <mergeCell ref="DJ147:DK148"/>
    <mergeCell ref="DJ145:DK145"/>
    <mergeCell ref="BG145:BL145"/>
    <mergeCell ref="CM27:CR28"/>
    <mergeCell ref="AQ25:BI25"/>
    <mergeCell ref="EF40:EG40"/>
    <mergeCell ref="EF42:EG43"/>
    <mergeCell ref="AP42:BL43"/>
    <mergeCell ref="BT27:CC28"/>
    <mergeCell ref="BT25:CC25"/>
    <mergeCell ref="CD25:CL25"/>
    <mergeCell ref="CD27:CL28"/>
    <mergeCell ref="BJ27:BN28"/>
    <mergeCell ref="BJ25:BN25"/>
    <mergeCell ref="X40:Y40"/>
    <mergeCell ref="I27:K28"/>
    <mergeCell ref="BH100:CE100"/>
    <mergeCell ref="BH102:CE103"/>
    <mergeCell ref="BQ117:BQ118"/>
    <mergeCell ref="BH117:BN118"/>
    <mergeCell ref="CJ72:CT73"/>
    <mergeCell ref="CJ70:CT70"/>
    <mergeCell ref="BS72:CI73"/>
    <mergeCell ref="BS70:CI70"/>
    <mergeCell ref="BN72:BR73"/>
    <mergeCell ref="BN70:BR70"/>
    <mergeCell ref="AE85:AJ85"/>
    <mergeCell ref="AE87:AJ88"/>
    <mergeCell ref="AC72:AG73"/>
    <mergeCell ref="AC70:AG70"/>
    <mergeCell ref="BM42:BW43"/>
    <mergeCell ref="S117:Z118"/>
    <mergeCell ref="AA117:AE118"/>
    <mergeCell ref="AF117:AG118"/>
    <mergeCell ref="N282:Q283"/>
    <mergeCell ref="N280:Q280"/>
    <mergeCell ref="AA280:AM280"/>
    <mergeCell ref="AA282:AM283"/>
    <mergeCell ref="V177:AD178"/>
    <mergeCell ref="V175:AD175"/>
    <mergeCell ref="Q220:U220"/>
    <mergeCell ref="Q222:U223"/>
    <mergeCell ref="V222:Y223"/>
    <mergeCell ref="V220:Y220"/>
    <mergeCell ref="Z220:AB220"/>
    <mergeCell ref="Z222:AB223"/>
    <mergeCell ref="AC222:AE223"/>
    <mergeCell ref="AC220:AE220"/>
    <mergeCell ref="Y190:AD190"/>
    <mergeCell ref="AE175:AJ175"/>
    <mergeCell ref="I177:P178"/>
    <mergeCell ref="I175:P175"/>
    <mergeCell ref="S207:S208"/>
    <mergeCell ref="W280:Z280"/>
    <mergeCell ref="W282:Z283"/>
    <mergeCell ref="O207:R208"/>
    <mergeCell ref="AE177:AJ178"/>
    <mergeCell ref="Q72:X73"/>
    <mergeCell ref="Q70:X70"/>
    <mergeCell ref="Y72:AB73"/>
    <mergeCell ref="Y70:AB70"/>
    <mergeCell ref="AH70:AR70"/>
    <mergeCell ref="AH72:AR73"/>
    <mergeCell ref="AS72:BJ73"/>
    <mergeCell ref="AS70:BJ70"/>
    <mergeCell ref="DQ72:DS73"/>
    <mergeCell ref="DQ70:DS70"/>
    <mergeCell ref="BK72:BM73"/>
    <mergeCell ref="BK70:BM70"/>
    <mergeCell ref="DP72:DP73"/>
    <mergeCell ref="ED40:EE40"/>
    <mergeCell ref="ED42:EE43"/>
    <mergeCell ref="DN70:DO70"/>
    <mergeCell ref="DN72:DO73"/>
    <mergeCell ref="DL70:DM70"/>
    <mergeCell ref="DL72:DM73"/>
    <mergeCell ref="CU70:CY70"/>
    <mergeCell ref="CZ70:DD70"/>
    <mergeCell ref="CU72:CY73"/>
    <mergeCell ref="CZ72:DD73"/>
    <mergeCell ref="EB72:EH73"/>
    <mergeCell ref="EB70:EH70"/>
    <mergeCell ref="AL100:BE100"/>
    <mergeCell ref="I102:Q103"/>
    <mergeCell ref="I100:Q100"/>
    <mergeCell ref="R100:Z100"/>
    <mergeCell ref="R102:Z103"/>
    <mergeCell ref="AA102:AK103"/>
    <mergeCell ref="AA100:AK100"/>
    <mergeCell ref="AX85:BC85"/>
    <mergeCell ref="AX87:BC88"/>
    <mergeCell ref="AK87:AS88"/>
    <mergeCell ref="AK85:AS85"/>
    <mergeCell ref="AT87:AW88"/>
    <mergeCell ref="AT85:AW85"/>
    <mergeCell ref="AN282:AO283"/>
    <mergeCell ref="AP282:AQ283"/>
    <mergeCell ref="AP280:AQ280"/>
    <mergeCell ref="AN280:AO280"/>
    <mergeCell ref="AR282:AV283"/>
    <mergeCell ref="AR280:AV280"/>
    <mergeCell ref="AW280:AZ280"/>
    <mergeCell ref="AW282:AZ283"/>
    <mergeCell ref="AL102:BE103"/>
    <mergeCell ref="AH117:AR118"/>
    <mergeCell ref="AF162:AJ163"/>
    <mergeCell ref="AF160:AJ160"/>
    <mergeCell ref="AM162:AP163"/>
    <mergeCell ref="AM160:AP160"/>
    <mergeCell ref="AF220:AI220"/>
    <mergeCell ref="AF222:AI223"/>
  </mergeCells>
  <phoneticPr fontId="4" type="noConversion"/>
  <printOptions horizontalCentered="1"/>
  <pageMargins left="0.31496062992125984" right="0.31496062992125984" top="0.78740157480314965" bottom="0.78740157480314965" header="0.31496062992125984" footer="0.31496062992125984"/>
  <pageSetup paperSize="9" scale="50" pageOrder="overThenDown" orientation="landscape" r:id="rId1"/>
  <headerFooter>
    <oddHeader>&amp;C&amp;20Energetische Kennwerte für Pelletfeuerungsanlagen nach der Systematik der DIN V 18599</oddHeader>
    <oddFooter>&amp;L&amp;14zusammengestellt vom Deutschen Energieholz- und Pellet-Verband e.V. (DEPV), www.depv.de&amp;R&amp;14Stand: 15. Oktober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view="pageBreakPreview" zoomScale="115" zoomScaleNormal="100" zoomScaleSheetLayoutView="115" workbookViewId="0">
      <selection activeCell="E8" sqref="E8"/>
    </sheetView>
  </sheetViews>
  <sheetFormatPr baseColWidth="10" defaultColWidth="10.77734375" defaultRowHeight="14.4" x14ac:dyDescent="0.3"/>
  <cols>
    <col min="1" max="1" width="60.77734375" customWidth="1"/>
    <col min="2" max="3" width="10.77734375" customWidth="1"/>
    <col min="4" max="4" width="28.77734375" customWidth="1"/>
    <col min="5" max="5" width="12.77734375" customWidth="1"/>
    <col min="6" max="8" width="12.77734375" hidden="1" customWidth="1"/>
    <col min="9" max="9" width="3.21875" customWidth="1"/>
    <col min="11" max="11" width="11.44140625" customWidth="1"/>
  </cols>
  <sheetData>
    <row r="1" spans="1:15" ht="16.2" thickBot="1" x14ac:dyDescent="0.35">
      <c r="A1" s="72" t="s">
        <v>56</v>
      </c>
      <c r="B1" s="73"/>
      <c r="C1" s="73"/>
      <c r="D1" s="71"/>
    </row>
    <row r="2" spans="1:15" ht="30" customHeight="1" thickBot="1" x14ac:dyDescent="0.35">
      <c r="A2" s="330" t="s">
        <v>54</v>
      </c>
      <c r="B2" s="331" t="s">
        <v>55</v>
      </c>
      <c r="C2" s="332" t="s">
        <v>1</v>
      </c>
      <c r="D2" s="336" t="s">
        <v>32</v>
      </c>
      <c r="E2" s="530" t="s">
        <v>31</v>
      </c>
      <c r="F2" s="525" t="s">
        <v>63</v>
      </c>
      <c r="G2" s="337" t="s">
        <v>57</v>
      </c>
      <c r="H2" s="338" t="s">
        <v>58</v>
      </c>
      <c r="O2" s="86"/>
    </row>
    <row r="3" spans="1:15" ht="30" customHeight="1" x14ac:dyDescent="0.3">
      <c r="A3" s="333" t="s">
        <v>5</v>
      </c>
      <c r="B3" s="60" t="s">
        <v>21</v>
      </c>
      <c r="C3" s="8" t="s">
        <v>69</v>
      </c>
      <c r="D3" s="587" t="s">
        <v>52</v>
      </c>
      <c r="E3" s="599"/>
      <c r="F3" s="526" t="e">
        <f>AVEDEV(Nennleistung_Pelletkessel,Nennleistung_Brennwertkessel,Nennleistung_Pelletkaminöfen)</f>
        <v>#NAME?</v>
      </c>
      <c r="G3" s="75" t="e">
        <f>MIN(Nennleistung_Pelletkessel,Nennleistung_Brennwertkessel,Nennleistung_Pelletkaminöfen)</f>
        <v>#NAME?</v>
      </c>
      <c r="H3" s="76" t="e">
        <f>MAX(Nennleistung_Pelletkessel,Nennleistung_Brennwertkessel,Nennleistung_Pelletkaminöfen)</f>
        <v>#NAME?</v>
      </c>
      <c r="J3" s="92"/>
      <c r="K3" s="1069" t="s">
        <v>62</v>
      </c>
      <c r="L3" s="1070"/>
      <c r="M3" s="1070"/>
      <c r="N3" s="1070"/>
      <c r="O3" s="86"/>
    </row>
    <row r="4" spans="1:15" ht="30" customHeight="1" thickBot="1" x14ac:dyDescent="0.35">
      <c r="A4" s="590" t="s">
        <v>6</v>
      </c>
      <c r="B4" s="591" t="s">
        <v>22</v>
      </c>
      <c r="C4" s="589" t="s">
        <v>70</v>
      </c>
      <c r="D4" s="679" t="s">
        <v>969</v>
      </c>
      <c r="E4" s="600"/>
      <c r="F4" s="527" t="e">
        <f>AVEDEV(Bereitschaftsverlust_Pelletkessel,Bereitschaftsverlust_Brennwertkessel,Bereitschaftsverlust_Pelletkaminöfen)</f>
        <v>#NAME?</v>
      </c>
      <c r="G4" s="87" t="e">
        <f>MIN(Bereitschaftsverlust_Pelletkessel,Bereitschaftsverlust_Brennwertkessel,Bereitschaftsverlust_Pelletkaminöfen)</f>
        <v>#NAME?</v>
      </c>
      <c r="H4" s="90" t="e">
        <f>MAX(Bereitschaftsverlust_Pelletkessel,Bereitschaftsverlust_Brennwertkessel,Bereitschaftsverlust_Pelletkaminöfen)</f>
        <v>#NAME?</v>
      </c>
      <c r="J4" s="93"/>
      <c r="K4" s="1069"/>
      <c r="L4" s="1070"/>
      <c r="M4" s="1070"/>
      <c r="N4" s="1070"/>
      <c r="O4" s="86"/>
    </row>
    <row r="5" spans="1:15" ht="30" customHeight="1" thickBot="1" x14ac:dyDescent="0.35">
      <c r="A5" s="333" t="s">
        <v>64</v>
      </c>
      <c r="B5" s="594" t="s">
        <v>103</v>
      </c>
      <c r="C5" s="8" t="s">
        <v>70</v>
      </c>
      <c r="D5" s="587"/>
      <c r="E5" s="597">
        <f>0.3</f>
        <v>0.3</v>
      </c>
      <c r="F5" s="528" t="e">
        <f>AVEDEV(Herstellerwerte!I61:Herstellerwerte!#REF!,Herstellerwerte!I91:'Herstellerwerte'!BY91,Herstellerwerte!I136:Herstellerwerte!#REF!,Herstellerwerte!I166:Herstellerwerte!#REF!,Herstellerwerte!I211:'Herstellerwerte'!BY211,Herstellerwerte!I226:'Herstellerwerte'!BY226,Herstellerwerte!I271:'Herstellerwerte'!BY271,Herstellerwerte!I287:'Herstellerwerte'!BY287)</f>
        <v>#REF!</v>
      </c>
      <c r="G5" s="89" t="e">
        <f>MIN(Herstellerwerte!I61:Herstellerwerte!#REF!,Herstellerwerte!I91:'Herstellerwerte'!BY91,Herstellerwerte!I136:Herstellerwerte!#REF!,Herstellerwerte!I166:Herstellerwerte!#REF!,Herstellerwerte!I211:'Herstellerwerte'!BY211,Herstellerwerte!I226:'Herstellerwerte'!BY226,Herstellerwerte!I271:'Herstellerwerte'!BY271,Herstellerwerte!I287:'Herstellerwerte'!BY287)</f>
        <v>#REF!</v>
      </c>
      <c r="H5" s="91" t="e">
        <f>MAX(Herstellerwerte!I61:Herstellerwerte!#REF!,Herstellerwerte!I91:'Herstellerwerte'!BY91,Herstellerwerte!I136:Herstellerwerte!#REF!,Herstellerwerte!I166:Herstellerwerte!#REF!,Herstellerwerte!I211:'Herstellerwerte'!BY211,Herstellerwerte!I226:'Herstellerwerte'!BY226,Herstellerwerte!I271:'Herstellerwerte'!BY271,Herstellerwerte!I287:'Herstellerwerte'!BY287)</f>
        <v>#REF!</v>
      </c>
      <c r="J5" s="94"/>
      <c r="K5" s="1069"/>
      <c r="L5" s="1070"/>
      <c r="M5" s="1070"/>
      <c r="N5" s="1070"/>
    </row>
    <row r="6" spans="1:15" ht="30" customHeight="1" x14ac:dyDescent="0.3">
      <c r="A6" s="334" t="s">
        <v>3</v>
      </c>
      <c r="B6" s="44" t="s">
        <v>104</v>
      </c>
      <c r="C6" s="9" t="s">
        <v>71</v>
      </c>
      <c r="D6" s="588"/>
      <c r="E6" s="598">
        <v>69.599999999999994</v>
      </c>
      <c r="F6" s="529" t="e">
        <f>AVEDEV(Heizkesseltemperatur_Nennlast_Pelletkessel,Heizkesseltemperatur_Nennlast_Brennwertkessel,Heizkesseltemperatur_Nennlast_Pelletkaminöfen)</f>
        <v>#NAME?</v>
      </c>
      <c r="G6" s="88" t="e">
        <f>MIN(Heizkesseltemperatur_Nennlast_Pelletkessel,Heizkesseltemperatur_Nennlast_Brennwertkessel,Heizkesseltemperatur_Nennlast_Pelletkaminöfen)</f>
        <v>#NAME?</v>
      </c>
      <c r="H6" s="95" t="e">
        <f>MAX(Heizkesseltemperatur_Nennlast_Pelletkessel,Heizkesseltemperatur_Nennlast_Brennwertkessel,Heizkesseltemperatur_Nennlast_Pelletkaminöfen)</f>
        <v>#NAME?</v>
      </c>
      <c r="O6" s="86"/>
    </row>
    <row r="7" spans="1:15" ht="30" customHeight="1" thickBot="1" x14ac:dyDescent="0.35">
      <c r="A7" s="335" t="s">
        <v>4</v>
      </c>
      <c r="B7" s="61" t="s">
        <v>106</v>
      </c>
      <c r="C7" s="10" t="s">
        <v>71</v>
      </c>
      <c r="D7" s="595"/>
      <c r="E7" s="605">
        <v>70</v>
      </c>
      <c r="F7" s="529" t="e">
        <f>AVEDEV(Heizkesseltemperatur_Teillast_Pelletkessel,Heizkesseltemperatur_Teillast_Brennwertkessel,Heizkesseltemperatur_Teillast_Pelletkaminöfen)</f>
        <v>#NAME?</v>
      </c>
      <c r="G7" s="88" t="e">
        <f>MIN(Heizkesseltemperatur_Teillast_Pelletkessel,Heizkesseltemperatur_Teillast_Brennwertkessel,Heizkesseltemperatur_Teillast_Pelletkaminöfen)</f>
        <v>#NAME?</v>
      </c>
      <c r="H7" s="95" t="e">
        <f>MAX(Heizkesseltemperatur_Teillast_Pelletkessel,Heizkesseltemperatur_Teillast_Brennwertkessel,Heizkesseltemperatur_Teillast_Pelletkaminöfen)</f>
        <v>#NAME?</v>
      </c>
      <c r="O7" s="86"/>
    </row>
    <row r="8" spans="1:15" ht="30" customHeight="1" x14ac:dyDescent="0.3">
      <c r="A8" s="333" t="s">
        <v>59</v>
      </c>
      <c r="B8" s="60" t="s">
        <v>107</v>
      </c>
      <c r="C8" s="8" t="s">
        <v>69</v>
      </c>
      <c r="D8" s="676" t="s">
        <v>964</v>
      </c>
      <c r="E8" s="603"/>
      <c r="F8" s="527" t="e">
        <f>AVEDEV(el.Leistungsaufnahme_Vollast_Pelletkessel,el.Leistungsaufnahme_Vollast_Brennwertkessel,el.Leistungsaufnahme_Vollast_Pelletkaminöfen)</f>
        <v>#NAME?</v>
      </c>
      <c r="G8" s="87" t="e">
        <f>MIN(el.Leistungsaufnahme_Vollast_Pelletkessel,el.Leistungsaufnahme_Vollast_Brennwertkessel,el.Leistungsaufnahme_Vollast_Pelletkaminöfen)</f>
        <v>#NAME?</v>
      </c>
      <c r="H8" s="90" t="e">
        <f>MAX(el.Leistungsaufnahme_Vollast_Pelletkessel,el.Leistungsaufnahme_Vollast_Brennwertkessel,el.Leistungsaufnahme_Vollast_Pelletkaminöfen)</f>
        <v>#NAME?</v>
      </c>
    </row>
    <row r="9" spans="1:15" ht="30" customHeight="1" x14ac:dyDescent="0.3">
      <c r="A9" s="334" t="s">
        <v>51</v>
      </c>
      <c r="B9" s="44" t="s">
        <v>27</v>
      </c>
      <c r="C9" s="9" t="s">
        <v>69</v>
      </c>
      <c r="D9" s="677" t="s">
        <v>970</v>
      </c>
      <c r="E9" s="604"/>
      <c r="F9" s="527" t="e">
        <f>AVEDEV(el.Leistungsaufnahme_Teillast_Pelletkessel,el.Leistungsaufnahme_Teillast_Brennwertkessel,el.Leistungsaufnahme_Teillast_Pelletkaminöfen)</f>
        <v>#NAME?</v>
      </c>
      <c r="G9" s="87" t="e">
        <f>MIN(el.Leistungsaufnahme_Teillast_Pelletkessel,el.Leistungsaufnahme_Teillast_Brennwertkessel,el.Leistungsaufnahme_Teillast_Pelletkaminöfen)</f>
        <v>#NAME?</v>
      </c>
      <c r="H9" s="90" t="e">
        <f>MAX(el.Leistungsaufnahme_Teillast_Pelletkessel,el.Leistungsaufnahme_Teillast_Brennwertkessel,el.Leistungsaufnahme_Teillast_Pelletkaminöfen)</f>
        <v>#NAME?</v>
      </c>
      <c r="O9" s="86"/>
    </row>
    <row r="10" spans="1:15" ht="30" customHeight="1" thickBot="1" x14ac:dyDescent="0.35">
      <c r="A10" s="592" t="s">
        <v>60</v>
      </c>
      <c r="B10" s="593" t="s">
        <v>28</v>
      </c>
      <c r="C10" s="10" t="s">
        <v>69</v>
      </c>
      <c r="D10" s="678" t="s">
        <v>971</v>
      </c>
      <c r="E10" s="604"/>
      <c r="F10" s="527" t="e">
        <f>AVEDEV(el.Leistungsaufnahme_Betriebsbereitschaft_Pelletkessel,el.Leistungsaufnahme_Betriebsbereitschaft_Brennwertkessel,el.Leistungsaufnahme_Betriebsbereitschaft_Pelletkaminöfen)</f>
        <v>#NAME?</v>
      </c>
      <c r="G10" s="87" t="e">
        <f>MIN(el.Leistungsaufnahme_Betriebsbereitschaft_Pelletkessel,el.Leistungsaufnahme_Betriebsbereitschaft_Brennwertkessel,el.Leistungsaufnahme_Betriebsbereitschaft_Pelletkaminöfen)</f>
        <v>#NAME?</v>
      </c>
      <c r="H10" s="90" t="e">
        <f>MAX(el.Leistungsaufnahme_Betriebsbereitschaft_Pelletkessel,el.Leistungsaufnahme_Betriebsbereitschaft_Brennwertkessel,el.Leistungsaufnahme_Betriebsbereitschaft_Pelletkaminöfen)</f>
        <v>#NAME?</v>
      </c>
    </row>
    <row r="11" spans="1:15" ht="20.100000000000001" customHeight="1" thickBot="1" x14ac:dyDescent="0.35"/>
    <row r="12" spans="1:15" ht="20.100000000000001" customHeight="1" thickBot="1" x14ac:dyDescent="0.35">
      <c r="A12" s="1071" t="s">
        <v>115</v>
      </c>
      <c r="B12" s="1072"/>
      <c r="C12" s="1072"/>
      <c r="D12" s="1073"/>
      <c r="I12" s="114"/>
      <c r="J12" s="114"/>
    </row>
    <row r="13" spans="1:15" ht="30" customHeight="1" thickBot="1" x14ac:dyDescent="0.35">
      <c r="A13" s="339" t="s">
        <v>54</v>
      </c>
      <c r="B13" s="1074" t="s">
        <v>116</v>
      </c>
      <c r="C13" s="1075"/>
      <c r="D13" s="340" t="s">
        <v>32</v>
      </c>
      <c r="E13" s="530" t="s">
        <v>31</v>
      </c>
      <c r="F13" s="525" t="s">
        <v>63</v>
      </c>
      <c r="G13" s="337" t="s">
        <v>57</v>
      </c>
      <c r="H13" s="338" t="s">
        <v>58</v>
      </c>
      <c r="I13" s="114"/>
      <c r="J13" s="114"/>
    </row>
    <row r="14" spans="1:15" ht="30" customHeight="1" x14ac:dyDescent="0.3">
      <c r="A14" s="1065" t="s">
        <v>159</v>
      </c>
      <c r="B14" s="1067" t="s">
        <v>29</v>
      </c>
      <c r="C14" s="1068"/>
      <c r="D14" s="680" t="s">
        <v>966</v>
      </c>
      <c r="E14" s="601">
        <v>0.94199999999999995</v>
      </c>
      <c r="F14" s="531" t="e">
        <f>AVEDEV(Wirkungsgrad_Nennlast_Brennwert_Pelletkessel)</f>
        <v>#NAME?</v>
      </c>
      <c r="G14" s="155" t="e">
        <f>MIN(Wirkungsgrad_Nennlast_Brennwert_Pelletkessel)</f>
        <v>#NAME?</v>
      </c>
      <c r="H14" s="156" t="e">
        <f>MAX(Wirkungsgrad_Nennlast_Brennwert_Pelletkessel)</f>
        <v>#NAME?</v>
      </c>
      <c r="I14" s="114"/>
      <c r="J14" s="114"/>
    </row>
    <row r="15" spans="1:15" ht="30" customHeight="1" thickBot="1" x14ac:dyDescent="0.35">
      <c r="A15" s="1066"/>
      <c r="B15" s="1031" t="s">
        <v>179</v>
      </c>
      <c r="C15" s="1064"/>
      <c r="D15" s="681" t="s">
        <v>965</v>
      </c>
      <c r="E15" s="602">
        <f>1.039</f>
        <v>1.0389999999999999</v>
      </c>
      <c r="F15" s="532" t="e">
        <f>AVEDEV(Wirkungsgrad_Nennlast_Brennwert_Brennwertkessel)</f>
        <v>#NAME?</v>
      </c>
      <c r="G15" s="157" t="e">
        <f>MIN(Wirkungsgrad_Nennlast_Brennwert_Brennwertkessel)</f>
        <v>#NAME?</v>
      </c>
      <c r="H15" s="158" t="e">
        <f>MAX(Wirkungsgrad_Nennlast_Brennwert_Brennwertkessel)</f>
        <v>#NAME?</v>
      </c>
      <c r="I15" s="114"/>
      <c r="J15" s="114"/>
    </row>
    <row r="16" spans="1:15" ht="30" customHeight="1" x14ac:dyDescent="0.3">
      <c r="A16" s="1065" t="s">
        <v>160</v>
      </c>
      <c r="B16" s="1067" t="s">
        <v>29</v>
      </c>
      <c r="C16" s="1068"/>
      <c r="D16" s="680" t="s">
        <v>967</v>
      </c>
      <c r="E16" s="601">
        <v>0.93899999999999995</v>
      </c>
      <c r="F16" s="533" t="e">
        <f>AVEDEV(Wirkungsgrad_Teillast_Brennwert_Pelletkessel)</f>
        <v>#NAME?</v>
      </c>
      <c r="G16" s="160" t="e">
        <f>MIN(Wirkungsgrad_Teillast_Brennwert_Pelletkessel)</f>
        <v>#NAME?</v>
      </c>
      <c r="H16" s="161" t="e">
        <f>MAX(Wirkungsgrad_Teillast_Brennwert_Pelletkessel)</f>
        <v>#NAME?</v>
      </c>
    </row>
    <row r="17" spans="1:8" ht="30" customHeight="1" thickBot="1" x14ac:dyDescent="0.35">
      <c r="A17" s="1066"/>
      <c r="B17" s="1031" t="s">
        <v>179</v>
      </c>
      <c r="C17" s="1064"/>
      <c r="D17" s="682" t="s">
        <v>968</v>
      </c>
      <c r="E17" s="683">
        <v>1.026</v>
      </c>
      <c r="F17" s="534" t="e">
        <f>AVEDEV(Wirkungsgrad_Teillast_Brennwert_Brennwertkessel)</f>
        <v>#NAME?</v>
      </c>
      <c r="G17" s="159" t="e">
        <f>MIN(Wirkungsgrad_Teillast_Brennwert_Brennwertkessel)</f>
        <v>#NAME?</v>
      </c>
      <c r="H17" s="162" t="e">
        <f>MAX(Wirkungsgrad_Teillast_Brennwert_Brennwertkessel)</f>
        <v>#NAME?</v>
      </c>
    </row>
    <row r="18" spans="1:8" x14ac:dyDescent="0.3">
      <c r="A18" s="114"/>
    </row>
    <row r="19" spans="1:8" x14ac:dyDescent="0.3">
      <c r="A19" s="114"/>
      <c r="D19" s="114"/>
    </row>
    <row r="20" spans="1:8" x14ac:dyDescent="0.3">
      <c r="A20" s="114"/>
      <c r="D20" s="114"/>
    </row>
  </sheetData>
  <sheetProtection algorithmName="SHA-512" hashValue="ifyRAdkHRSgngof9LkykbkzRxWu0Dk2p1QMWZvlk/Npk2mXO6x8FoiE+QFf+5cCLgRGJeWYnZwGG3TAPdbFYlg==" saltValue="5BXci0DVUHzEgT054kJUMg==" spinCount="100000" sheet="1" objects="1" scenarios="1"/>
  <mergeCells count="9">
    <mergeCell ref="B17:C17"/>
    <mergeCell ref="A16:A17"/>
    <mergeCell ref="B14:C14"/>
    <mergeCell ref="B15:C15"/>
    <mergeCell ref="K3:N5"/>
    <mergeCell ref="A12:D12"/>
    <mergeCell ref="A14:A15"/>
    <mergeCell ref="B13:C13"/>
    <mergeCell ref="B16:C16"/>
  </mergeCells>
  <pageMargins left="0.7" right="0.7" top="0.78740157499999996" bottom="0.78740157499999996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view="pageBreakPreview" zoomScale="85" zoomScaleNormal="100" zoomScaleSheetLayoutView="85" workbookViewId="0">
      <selection sqref="A1:E1"/>
    </sheetView>
  </sheetViews>
  <sheetFormatPr baseColWidth="10" defaultRowHeight="14.4" x14ac:dyDescent="0.3"/>
  <cols>
    <col min="1" max="1" width="34.21875" customWidth="1"/>
    <col min="6" max="6" width="22.77734375" customWidth="1"/>
  </cols>
  <sheetData>
    <row r="1" spans="1:17" ht="15" thickBot="1" x14ac:dyDescent="0.35">
      <c r="A1" s="1108" t="s">
        <v>225</v>
      </c>
      <c r="B1" s="1109"/>
      <c r="C1" s="1109"/>
      <c r="D1" s="1109"/>
      <c r="E1" s="1110"/>
      <c r="F1" s="351"/>
      <c r="G1" s="352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5" thickBot="1" x14ac:dyDescent="0.35">
      <c r="A2" s="341" t="s">
        <v>54</v>
      </c>
      <c r="B2" s="345" t="s">
        <v>55</v>
      </c>
      <c r="C2" s="332" t="s">
        <v>1</v>
      </c>
      <c r="D2" s="1116" t="s">
        <v>32</v>
      </c>
      <c r="E2" s="1117"/>
      <c r="F2" s="1114" t="s">
        <v>226</v>
      </c>
      <c r="G2" s="1115"/>
      <c r="H2" s="350" t="s">
        <v>227</v>
      </c>
      <c r="I2" s="7"/>
      <c r="J2" s="7"/>
      <c r="K2" s="7"/>
      <c r="L2" s="7"/>
      <c r="M2" s="7"/>
      <c r="N2" s="7"/>
      <c r="O2" s="7"/>
      <c r="P2" s="7"/>
      <c r="Q2" s="7"/>
    </row>
    <row r="3" spans="1:17" ht="20.100000000000001" customHeight="1" thickBot="1" x14ac:dyDescent="0.35">
      <c r="A3" s="342" t="s">
        <v>5</v>
      </c>
      <c r="B3" s="327" t="s">
        <v>21</v>
      </c>
      <c r="C3" s="8" t="s">
        <v>69</v>
      </c>
      <c r="D3" s="1111" t="s">
        <v>72</v>
      </c>
      <c r="E3" s="1112"/>
      <c r="F3" s="7"/>
      <c r="G3" s="7"/>
      <c r="H3" s="7"/>
      <c r="I3" s="353" t="s">
        <v>78</v>
      </c>
      <c r="J3" s="354" t="s">
        <v>79</v>
      </c>
      <c r="K3" s="7"/>
      <c r="L3" s="7"/>
      <c r="M3" s="7"/>
      <c r="N3" s="7"/>
      <c r="O3" s="7"/>
      <c r="P3" s="7"/>
      <c r="Q3" s="7"/>
    </row>
    <row r="4" spans="1:17" ht="30" customHeight="1" thickBot="1" x14ac:dyDescent="0.35">
      <c r="A4" s="343" t="s">
        <v>6</v>
      </c>
      <c r="B4" s="328" t="s">
        <v>22</v>
      </c>
      <c r="C4" s="9" t="s">
        <v>70</v>
      </c>
      <c r="D4" s="1101" t="s">
        <v>234</v>
      </c>
      <c r="E4" s="1113"/>
      <c r="F4" s="1118" t="s">
        <v>229</v>
      </c>
      <c r="G4" s="1119"/>
      <c r="H4" s="371" t="s">
        <v>228</v>
      </c>
      <c r="I4" s="355">
        <v>3</v>
      </c>
      <c r="J4" s="356">
        <v>-0.2</v>
      </c>
      <c r="K4" s="7"/>
      <c r="L4" s="7"/>
      <c r="M4" s="7"/>
      <c r="N4" s="7"/>
      <c r="O4" s="7"/>
      <c r="P4" s="7"/>
      <c r="Q4" s="7"/>
    </row>
    <row r="5" spans="1:17" ht="30" customHeight="1" x14ac:dyDescent="0.3">
      <c r="A5" s="343" t="s">
        <v>64</v>
      </c>
      <c r="B5" s="346" t="s">
        <v>152</v>
      </c>
      <c r="C5" s="9" t="s">
        <v>70</v>
      </c>
      <c r="D5" s="1101" t="s">
        <v>61</v>
      </c>
      <c r="E5" s="110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30" customHeight="1" x14ac:dyDescent="0.3">
      <c r="A6" s="343" t="s">
        <v>3</v>
      </c>
      <c r="B6" s="328" t="s">
        <v>24</v>
      </c>
      <c r="C6" s="9" t="s">
        <v>71</v>
      </c>
      <c r="D6" s="1101" t="s">
        <v>72</v>
      </c>
      <c r="E6" s="110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0" customHeight="1" thickBot="1" x14ac:dyDescent="0.35">
      <c r="A7" s="344" t="s">
        <v>4</v>
      </c>
      <c r="B7" s="329" t="s">
        <v>25</v>
      </c>
      <c r="C7" s="10" t="s">
        <v>71</v>
      </c>
      <c r="D7" s="1103" t="s">
        <v>72</v>
      </c>
      <c r="E7" s="110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5" customHeight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20.100000000000001" customHeight="1" thickBot="1" x14ac:dyDescent="0.35">
      <c r="A9" s="7"/>
      <c r="B9" s="7"/>
      <c r="C9" s="7"/>
      <c r="D9" s="7"/>
      <c r="E9" s="7"/>
      <c r="F9" s="7"/>
      <c r="G9" s="7"/>
      <c r="H9" s="7"/>
      <c r="I9" s="353" t="s">
        <v>73</v>
      </c>
      <c r="J9" s="357" t="s">
        <v>74</v>
      </c>
      <c r="K9" s="354" t="s">
        <v>75</v>
      </c>
      <c r="L9" s="7"/>
      <c r="M9" s="1105" t="s">
        <v>77</v>
      </c>
      <c r="N9" s="1106"/>
      <c r="O9" s="1106"/>
      <c r="P9" s="1107"/>
      <c r="Q9" s="362"/>
    </row>
    <row r="10" spans="1:17" ht="30" customHeight="1" x14ac:dyDescent="0.3">
      <c r="A10" s="342" t="s">
        <v>59</v>
      </c>
      <c r="B10" s="327" t="s">
        <v>235</v>
      </c>
      <c r="C10" s="8" t="s">
        <v>69</v>
      </c>
      <c r="D10" s="1095" t="s">
        <v>236</v>
      </c>
      <c r="E10" s="1096"/>
      <c r="F10" s="924" t="s">
        <v>76</v>
      </c>
      <c r="G10" s="926"/>
      <c r="H10" s="7"/>
      <c r="I10" s="372">
        <v>40</v>
      </c>
      <c r="J10" s="359">
        <v>2</v>
      </c>
      <c r="K10" s="360">
        <v>1</v>
      </c>
      <c r="L10" s="7"/>
      <c r="M10" s="1076" t="s">
        <v>237</v>
      </c>
      <c r="N10" s="1076"/>
      <c r="O10" s="1076"/>
      <c r="P10" s="1076"/>
      <c r="Q10" s="362"/>
    </row>
    <row r="11" spans="1:17" ht="30" customHeight="1" x14ac:dyDescent="0.3">
      <c r="A11" s="343" t="s">
        <v>51</v>
      </c>
      <c r="B11" s="328" t="s">
        <v>27</v>
      </c>
      <c r="C11" s="9" t="s">
        <v>69</v>
      </c>
      <c r="D11" s="1097" t="s">
        <v>236</v>
      </c>
      <c r="E11" s="1098"/>
      <c r="F11" s="1099"/>
      <c r="G11" s="1100"/>
      <c r="H11" s="7"/>
      <c r="I11" s="194">
        <v>0</v>
      </c>
      <c r="J11" s="14">
        <v>1.8</v>
      </c>
      <c r="K11" s="290">
        <v>1</v>
      </c>
      <c r="L11" s="7"/>
      <c r="M11" s="1077"/>
      <c r="N11" s="1077"/>
      <c r="O11" s="1077"/>
      <c r="P11" s="1077"/>
      <c r="Q11" s="362"/>
    </row>
    <row r="12" spans="1:17" ht="30" customHeight="1" thickBot="1" x14ac:dyDescent="0.35">
      <c r="A12" s="344" t="s">
        <v>60</v>
      </c>
      <c r="B12" s="347" t="s">
        <v>28</v>
      </c>
      <c r="C12" s="10" t="s">
        <v>69</v>
      </c>
      <c r="D12" s="1078" t="s">
        <v>236</v>
      </c>
      <c r="E12" s="1079"/>
      <c r="F12" s="927"/>
      <c r="G12" s="929"/>
      <c r="H12" s="7"/>
      <c r="I12" s="234">
        <v>5</v>
      </c>
      <c r="J12" s="233">
        <v>0.2</v>
      </c>
      <c r="K12" s="361">
        <v>1</v>
      </c>
      <c r="L12" s="7"/>
      <c r="M12" s="1077"/>
      <c r="N12" s="1077"/>
      <c r="O12" s="1077"/>
      <c r="P12" s="1077"/>
      <c r="Q12" s="362"/>
    </row>
    <row r="13" spans="1:17" ht="30" customHeight="1" x14ac:dyDescent="0.3">
      <c r="A13" s="342" t="s">
        <v>59</v>
      </c>
      <c r="B13" s="327" t="s">
        <v>235</v>
      </c>
      <c r="C13" s="8" t="s">
        <v>69</v>
      </c>
      <c r="D13" s="1095" t="s">
        <v>236</v>
      </c>
      <c r="E13" s="1096"/>
      <c r="F13" s="858" t="s">
        <v>231</v>
      </c>
      <c r="G13" s="860"/>
      <c r="H13" s="326"/>
      <c r="I13" s="372">
        <v>40</v>
      </c>
      <c r="J13" s="359">
        <v>2</v>
      </c>
      <c r="K13" s="360">
        <v>1</v>
      </c>
      <c r="L13" s="7"/>
      <c r="M13" s="1077"/>
      <c r="N13" s="1077"/>
      <c r="O13" s="1077"/>
      <c r="P13" s="1077"/>
      <c r="Q13" s="362"/>
    </row>
    <row r="14" spans="1:17" ht="30" customHeight="1" x14ac:dyDescent="0.3">
      <c r="A14" s="343" t="s">
        <v>51</v>
      </c>
      <c r="B14" s="328" t="s">
        <v>27</v>
      </c>
      <c r="C14" s="9" t="s">
        <v>69</v>
      </c>
      <c r="D14" s="1097" t="s">
        <v>236</v>
      </c>
      <c r="E14" s="1098"/>
      <c r="F14" s="1019"/>
      <c r="G14" s="1021"/>
      <c r="H14" s="326"/>
      <c r="I14" s="194">
        <v>0</v>
      </c>
      <c r="J14" s="14">
        <v>1.8</v>
      </c>
      <c r="K14" s="290">
        <v>1</v>
      </c>
      <c r="L14" s="7"/>
      <c r="M14" s="1077"/>
      <c r="N14" s="1077"/>
      <c r="O14" s="1077"/>
      <c r="P14" s="1077"/>
      <c r="Q14" s="362"/>
    </row>
    <row r="15" spans="1:17" ht="30" customHeight="1" thickBot="1" x14ac:dyDescent="0.35">
      <c r="A15" s="344" t="s">
        <v>60</v>
      </c>
      <c r="B15" s="347" t="s">
        <v>28</v>
      </c>
      <c r="C15" s="10" t="s">
        <v>69</v>
      </c>
      <c r="D15" s="1078" t="s">
        <v>236</v>
      </c>
      <c r="E15" s="1079"/>
      <c r="F15" s="861"/>
      <c r="G15" s="863"/>
      <c r="H15" s="326"/>
      <c r="I15" s="234">
        <v>5</v>
      </c>
      <c r="J15" s="233">
        <v>0.2</v>
      </c>
      <c r="K15" s="361">
        <v>1</v>
      </c>
      <c r="L15" s="7"/>
      <c r="M15" s="1077"/>
      <c r="N15" s="1077"/>
      <c r="O15" s="1077"/>
      <c r="P15" s="1077"/>
      <c r="Q15" s="362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" thickBot="1" x14ac:dyDescent="0.35">
      <c r="A17" s="7"/>
      <c r="B17" s="7"/>
      <c r="C17" s="7"/>
      <c r="D17" s="7"/>
      <c r="E17" s="7"/>
      <c r="F17" s="7"/>
      <c r="G17" s="7"/>
      <c r="H17" s="7"/>
      <c r="I17" s="363"/>
      <c r="J17" s="363"/>
      <c r="K17" s="363"/>
      <c r="L17" s="362"/>
      <c r="M17" s="362"/>
      <c r="N17" s="362"/>
      <c r="O17" s="362"/>
      <c r="P17" s="362"/>
      <c r="Q17" s="7"/>
    </row>
    <row r="18" spans="1:17" ht="15" thickBot="1" x14ac:dyDescent="0.35">
      <c r="A18" s="7"/>
      <c r="B18" s="7"/>
      <c r="C18" s="7"/>
      <c r="D18" s="7"/>
      <c r="E18" s="7"/>
      <c r="F18" s="7"/>
      <c r="G18" s="7"/>
      <c r="H18" s="7"/>
      <c r="I18" s="364" t="s">
        <v>65</v>
      </c>
      <c r="J18" s="365" t="s">
        <v>66</v>
      </c>
      <c r="K18" s="365" t="s">
        <v>67</v>
      </c>
      <c r="L18" s="366" t="s">
        <v>68</v>
      </c>
      <c r="M18" s="1091" t="s">
        <v>77</v>
      </c>
      <c r="N18" s="1092"/>
      <c r="O18" s="1092"/>
      <c r="P18" s="1093"/>
      <c r="Q18" s="7"/>
    </row>
    <row r="19" spans="1:17" ht="30" customHeight="1" x14ac:dyDescent="0.3">
      <c r="A19" s="342" t="s">
        <v>17</v>
      </c>
      <c r="B19" s="348" t="s">
        <v>238</v>
      </c>
      <c r="C19" s="8" t="s">
        <v>70</v>
      </c>
      <c r="D19" s="1080" t="s">
        <v>239</v>
      </c>
      <c r="E19" s="1081"/>
      <c r="F19" s="924" t="s">
        <v>230</v>
      </c>
      <c r="G19" s="925"/>
      <c r="H19" s="938" t="s">
        <v>228</v>
      </c>
      <c r="I19" s="358">
        <v>92</v>
      </c>
      <c r="J19" s="359">
        <v>0.5</v>
      </c>
      <c r="K19" s="367"/>
      <c r="L19" s="368"/>
      <c r="M19" s="1082" t="s">
        <v>233</v>
      </c>
      <c r="N19" s="1076"/>
      <c r="O19" s="1076"/>
      <c r="P19" s="1083"/>
      <c r="Q19" s="7"/>
    </row>
    <row r="20" spans="1:17" ht="30" customHeight="1" thickBot="1" x14ac:dyDescent="0.35">
      <c r="A20" s="344" t="s">
        <v>18</v>
      </c>
      <c r="B20" s="349" t="s">
        <v>108</v>
      </c>
      <c r="C20" s="10" t="s">
        <v>70</v>
      </c>
      <c r="D20" s="1087" t="s">
        <v>240</v>
      </c>
      <c r="E20" s="1088"/>
      <c r="F20" s="1089"/>
      <c r="G20" s="1090"/>
      <c r="H20" s="1094"/>
      <c r="I20" s="369"/>
      <c r="J20" s="370"/>
      <c r="K20" s="233">
        <v>91</v>
      </c>
      <c r="L20" s="361">
        <v>0.8</v>
      </c>
      <c r="M20" s="1084"/>
      <c r="N20" s="1085"/>
      <c r="O20" s="1085"/>
      <c r="P20" s="1086"/>
      <c r="Q20" s="7"/>
    </row>
    <row r="21" spans="1:17" ht="30" x14ac:dyDescent="0.3">
      <c r="A21" s="342" t="s">
        <v>17</v>
      </c>
      <c r="B21" s="348" t="s">
        <v>238</v>
      </c>
      <c r="C21" s="8" t="s">
        <v>70</v>
      </c>
      <c r="D21" s="1080" t="s">
        <v>239</v>
      </c>
      <c r="E21" s="1081"/>
      <c r="F21" s="924" t="s">
        <v>231</v>
      </c>
      <c r="G21" s="925"/>
      <c r="H21" s="938" t="s">
        <v>228</v>
      </c>
      <c r="I21" s="358">
        <v>100</v>
      </c>
      <c r="J21" s="359">
        <v>1</v>
      </c>
      <c r="K21" s="367"/>
      <c r="L21" s="368"/>
      <c r="M21" s="1082" t="s">
        <v>232</v>
      </c>
      <c r="N21" s="1076"/>
      <c r="O21" s="1076"/>
      <c r="P21" s="1083"/>
      <c r="Q21" s="7"/>
    </row>
    <row r="22" spans="1:17" ht="30.6" thickBot="1" x14ac:dyDescent="0.35">
      <c r="A22" s="344" t="s">
        <v>18</v>
      </c>
      <c r="B22" s="349" t="s">
        <v>108</v>
      </c>
      <c r="C22" s="10" t="s">
        <v>70</v>
      </c>
      <c r="D22" s="1087" t="s">
        <v>240</v>
      </c>
      <c r="E22" s="1088"/>
      <c r="F22" s="927"/>
      <c r="G22" s="928"/>
      <c r="H22" s="941"/>
      <c r="I22" s="369"/>
      <c r="J22" s="370"/>
      <c r="K22" s="233">
        <v>98</v>
      </c>
      <c r="L22" s="361">
        <v>1</v>
      </c>
      <c r="M22" s="1084"/>
      <c r="N22" s="1085"/>
      <c r="O22" s="1085"/>
      <c r="P22" s="1086"/>
      <c r="Q22" s="7"/>
    </row>
  </sheetData>
  <sheetProtection algorithmName="SHA-512" hashValue="l8rO6/SbGjdwvK3WTs9y2AJ9QQYfewde73auL8ajR3590/57PV3jKILcAsCWIZg8y/V42QcG1VtmURiHaZjLCA==" saltValue="J2PH0hO9ImDtCheoThDo7A==" spinCount="100000" sheet="1" objects="1" scenarios="1"/>
  <mergeCells count="30">
    <mergeCell ref="M9:P9"/>
    <mergeCell ref="A1:E1"/>
    <mergeCell ref="D3:E3"/>
    <mergeCell ref="D4:E4"/>
    <mergeCell ref="F2:G2"/>
    <mergeCell ref="D2:E2"/>
    <mergeCell ref="F4:G4"/>
    <mergeCell ref="F10:G12"/>
    <mergeCell ref="D6:E6"/>
    <mergeCell ref="D7:E7"/>
    <mergeCell ref="D5:E5"/>
    <mergeCell ref="D10:E10"/>
    <mergeCell ref="D11:E11"/>
    <mergeCell ref="D12:E12"/>
    <mergeCell ref="M10:P15"/>
    <mergeCell ref="D15:E15"/>
    <mergeCell ref="D21:E21"/>
    <mergeCell ref="F21:G22"/>
    <mergeCell ref="H21:H22"/>
    <mergeCell ref="M21:P22"/>
    <mergeCell ref="D22:E22"/>
    <mergeCell ref="F19:G20"/>
    <mergeCell ref="D19:E19"/>
    <mergeCell ref="D20:E20"/>
    <mergeCell ref="F13:G15"/>
    <mergeCell ref="M19:P20"/>
    <mergeCell ref="M18:P18"/>
    <mergeCell ref="H19:H20"/>
    <mergeCell ref="D13:E13"/>
    <mergeCell ref="D14:E14"/>
  </mergeCells>
  <pageMargins left="0.7" right="0.7" top="0.78740157499999996" bottom="0.78740157499999996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Herstellerwerte</vt:lpstr>
      <vt:lpstr>Mittelwerte</vt:lpstr>
      <vt:lpstr>Standardwerte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Benedikt Schäferling</dc:creator>
  <cp:lastModifiedBy>Kevin.Nätebusch</cp:lastModifiedBy>
  <cp:lastPrinted>2018-10-16T15:16:32Z</cp:lastPrinted>
  <dcterms:created xsi:type="dcterms:W3CDTF">2013-11-06T10:08:49Z</dcterms:created>
  <dcterms:modified xsi:type="dcterms:W3CDTF">2023-10-25T12:22:16Z</dcterms:modified>
</cp:coreProperties>
</file>